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SK3\Dropbox\01_NÕUKOGU MATERJALID\Järgmise koosoleku materjalid\"/>
    </mc:Choice>
  </mc:AlternateContent>
  <xr:revisionPtr revIDLastSave="0" documentId="13_ncr:1_{22DB63DE-0FCD-4462-A564-0FE72FD49AAA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Eelarve" sheetId="2" r:id="rId1"/>
    <sheet name="SIM ettepanek" sheetId="4" r:id="rId2"/>
  </sheets>
  <definedNames>
    <definedName name="_xlnm.Print_Area" localSheetId="0">Eelarve!$A$1:$H$51</definedName>
  </definedNames>
  <calcPr calcId="191029"/>
</workbook>
</file>

<file path=xl/calcChain.xml><?xml version="1.0" encoding="utf-8"?>
<calcChain xmlns="http://schemas.openxmlformats.org/spreadsheetml/2006/main">
  <c r="J12" i="2" l="1"/>
  <c r="K11" i="2"/>
  <c r="B2" i="4"/>
  <c r="B34" i="4" s="1"/>
  <c r="K21" i="2"/>
  <c r="J21" i="2"/>
  <c r="I20" i="2"/>
  <c r="I19" i="2"/>
  <c r="I18" i="2"/>
  <c r="I16" i="2"/>
  <c r="I15" i="2"/>
  <c r="K15" i="2"/>
  <c r="B17" i="4"/>
  <c r="I28" i="2"/>
  <c r="H27" i="2"/>
  <c r="B15" i="4"/>
  <c r="H49" i="2"/>
  <c r="H48" i="2"/>
  <c r="H17" i="2"/>
  <c r="H5" i="2"/>
  <c r="B23" i="4"/>
  <c r="B28" i="4" l="1"/>
  <c r="H29" i="2"/>
  <c r="B7" i="4" l="1"/>
  <c r="H30" i="2"/>
  <c r="I12" i="2"/>
  <c r="H15" i="2"/>
  <c r="H12" i="2"/>
  <c r="B20" i="4"/>
  <c r="B9" i="4"/>
  <c r="B14" i="4"/>
  <c r="B11" i="4" s="1"/>
  <c r="H4" i="2"/>
  <c r="H16" i="2"/>
  <c r="H51" i="2"/>
  <c r="G11" i="2"/>
  <c r="H8" i="2"/>
  <c r="H34" i="2"/>
  <c r="H37" i="2"/>
  <c r="H44" i="2"/>
  <c r="B5" i="4"/>
  <c r="H20" i="2"/>
  <c r="H21" i="2" s="1"/>
  <c r="B8" i="4"/>
  <c r="B6" i="4"/>
  <c r="I21" i="2"/>
  <c r="F21" i="2"/>
  <c r="G21" i="2"/>
  <c r="E16" i="2"/>
  <c r="E21" i="2"/>
  <c r="F4" i="2"/>
  <c r="E4" i="2"/>
  <c r="E27" i="2"/>
  <c r="G30" i="2"/>
  <c r="I30" i="2"/>
  <c r="G44" i="2"/>
  <c r="I44" i="2"/>
  <c r="G51" i="2"/>
  <c r="G53" i="2"/>
  <c r="I51" i="2"/>
  <c r="G12" i="2"/>
  <c r="G63" i="2"/>
  <c r="F12" i="2"/>
  <c r="F51" i="2"/>
  <c r="F44" i="2"/>
  <c r="F30" i="2"/>
  <c r="F53" i="2"/>
  <c r="F63" i="2"/>
  <c r="D38" i="2"/>
  <c r="D44" i="2"/>
  <c r="D59" i="2"/>
  <c r="C30" i="2"/>
  <c r="C58" i="2"/>
  <c r="C44" i="2"/>
  <c r="C59" i="2"/>
  <c r="C57" i="2"/>
  <c r="C51" i="2"/>
  <c r="C12" i="2"/>
  <c r="E43" i="2"/>
  <c r="E41" i="2"/>
  <c r="E37" i="2"/>
  <c r="E36" i="2"/>
  <c r="E35" i="2"/>
  <c r="E34" i="2"/>
  <c r="E38" i="2"/>
  <c r="E39" i="2"/>
  <c r="E40" i="2"/>
  <c r="D30" i="2"/>
  <c r="D58" i="2"/>
  <c r="D51" i="2"/>
  <c r="D56" i="2"/>
  <c r="E56" i="2"/>
  <c r="D57" i="2"/>
  <c r="E49" i="2"/>
  <c r="E50" i="2"/>
  <c r="D4" i="2"/>
  <c r="E48" i="2"/>
  <c r="E26" i="2"/>
  <c r="E7" i="2"/>
  <c r="E12" i="2"/>
  <c r="D60" i="2"/>
  <c r="D53" i="2"/>
  <c r="C60" i="2"/>
  <c r="E60" i="2"/>
  <c r="C53" i="2"/>
  <c r="E57" i="2"/>
  <c r="C21" i="2"/>
  <c r="E30" i="2"/>
  <c r="D12" i="2"/>
  <c r="E51" i="2"/>
  <c r="E44" i="2"/>
  <c r="E58" i="2"/>
  <c r="E59" i="2"/>
  <c r="D61" i="2"/>
  <c r="E53" i="2"/>
  <c r="E63" i="2"/>
  <c r="C61" i="2"/>
  <c r="D21" i="2"/>
  <c r="E61" i="2"/>
  <c r="I53" i="2" l="1"/>
  <c r="I63" i="2" s="1"/>
  <c r="B31" i="4"/>
  <c r="H53" i="2"/>
  <c r="H63" i="2" s="1"/>
  <c r="B29" i="4"/>
  <c r="B25" i="4" s="1"/>
  <c r="B3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Marten Lauri</author>
    <author>Anneli</author>
  </authors>
  <commentList>
    <comment ref="G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86"/>
          </rPr>
          <t>Marten Lauri:</t>
        </r>
        <r>
          <rPr>
            <sz val="9"/>
            <color indexed="81"/>
            <rFont val="Tahoma"/>
            <family val="2"/>
            <charset val="186"/>
          </rPr>
          <t xml:space="preserve">
Vähendatud 3730 eur võrra, mis suunatakse SIMi eelarvest RAM eelarvesse seoses riigi sihtasutuste arvestusteenuse konsolideerimisega RTK-sse.</t>
        </r>
      </text>
    </comment>
    <comment ref="H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86"/>
          </rPr>
          <t>Marten Lauri:</t>
        </r>
        <r>
          <rPr>
            <sz val="9"/>
            <color indexed="81"/>
            <rFont val="Tahoma"/>
            <family val="2"/>
            <charset val="186"/>
          </rPr>
          <t xml:space="preserve">
Vähendatud 6395 eur võrra, mis suunatakse SIMi eelarvest RAM eelarvesse seoses riigi sihtasutuste arvestusteenuse konsolideerimisega RTK-sse.</t>
        </r>
      </text>
    </comment>
    <comment ref="H15" authorId="1" shapeId="0" xr:uid="{9A790477-B41C-48E3-B646-FA6F8C93216E}">
      <text>
        <r>
          <rPr>
            <b/>
            <sz val="9"/>
            <color indexed="81"/>
            <rFont val="Segoe UI"/>
            <family val="2"/>
          </rPr>
          <t>Anneli:</t>
        </r>
        <r>
          <rPr>
            <sz val="9"/>
            <color indexed="81"/>
            <rFont val="Segoe UI"/>
            <family val="2"/>
          </rPr>
          <t xml:space="preserve">
2020 a. summast - RTK teenus+2020 a jääk
</t>
        </r>
      </text>
    </comment>
    <comment ref="H16" authorId="1" shapeId="0" xr:uid="{171C4B5A-E4BE-465F-9F98-639EFA59CCA1}">
      <text>
        <r>
          <rPr>
            <b/>
            <sz val="9"/>
            <color indexed="81"/>
            <rFont val="Segoe UI"/>
            <family val="2"/>
          </rPr>
          <t>Anneli:</t>
        </r>
        <r>
          <rPr>
            <sz val="9"/>
            <color indexed="81"/>
            <rFont val="Segoe UI"/>
            <family val="2"/>
          </rPr>
          <t xml:space="preserve">
2020 a. summa
+2020 a jääk</t>
        </r>
      </text>
    </comment>
    <comment ref="H17" authorId="1" shapeId="0" xr:uid="{663BF47C-FF72-421A-B654-9F6978CF905A}">
      <text>
        <r>
          <rPr>
            <b/>
            <sz val="9"/>
            <color indexed="81"/>
            <rFont val="Segoe UI"/>
            <family val="2"/>
          </rPr>
          <t>Anneli:</t>
        </r>
        <r>
          <rPr>
            <sz val="9"/>
            <color indexed="81"/>
            <rFont val="Segoe UI"/>
            <family val="2"/>
          </rPr>
          <t xml:space="preserve">
2021 a SIM vahendid +
2020 a jääk 5825,46
</t>
        </r>
      </text>
    </comment>
    <comment ref="H34" authorId="1" shapeId="0" xr:uid="{7DE1D5FD-48A5-4D5C-A859-811870D639F4}">
      <text>
        <r>
          <rPr>
            <b/>
            <sz val="9"/>
            <color indexed="81"/>
            <rFont val="Segoe UI"/>
            <family val="2"/>
          </rPr>
          <t>Anneli:</t>
        </r>
        <r>
          <rPr>
            <sz val="9"/>
            <color indexed="81"/>
            <rFont val="Segoe UI"/>
            <family val="2"/>
          </rPr>
          <t xml:space="preserve">
lisatud 75 000€, 2020 starditoetuse väljamakse te
ostatud 2021 alguses.</t>
        </r>
      </text>
    </comment>
  </commentList>
</comments>
</file>

<file path=xl/sharedStrings.xml><?xml version="1.0" encoding="utf-8"?>
<sst xmlns="http://schemas.openxmlformats.org/spreadsheetml/2006/main" count="128" uniqueCount="95">
  <si>
    <t>Ressursid</t>
  </si>
  <si>
    <t>KÜSK</t>
  </si>
  <si>
    <t>MAK</t>
  </si>
  <si>
    <t>KOKKU</t>
  </si>
  <si>
    <t>Kokku</t>
  </si>
  <si>
    <t>TEGEVUSVALDKOND 3</t>
  </si>
  <si>
    <t>TEGEVUSVALDKOND 2</t>
  </si>
  <si>
    <t>TEGEVUSVALDKONNAD</t>
  </si>
  <si>
    <t>TEGEVUSVALDKOND 1</t>
  </si>
  <si>
    <t xml:space="preserve">KOKKU </t>
  </si>
  <si>
    <t>1.1.KÜSK</t>
  </si>
  <si>
    <t xml:space="preserve"> </t>
  </si>
  <si>
    <t>Kontroll</t>
  </si>
  <si>
    <t>MAK halduskulud</t>
  </si>
  <si>
    <t>Tegevusvaldkond 1:</t>
  </si>
  <si>
    <t>Tegevusvaldkond 2:</t>
  </si>
  <si>
    <t>Tegevusvaldkond 3:</t>
  </si>
  <si>
    <t>2.2. Uuringute tellimine</t>
  </si>
  <si>
    <t xml:space="preserve">2.3. Suursündmuste toetamine </t>
  </si>
  <si>
    <t>3.1. Reisitoetuste konkurss</t>
  </si>
  <si>
    <t>Rahvusvahelise koostöö soodustamine</t>
  </si>
  <si>
    <t>2017. a ületulevad vahendid</t>
  </si>
  <si>
    <t>2018. a vahendid</t>
  </si>
  <si>
    <t>Kodanikuühiskonna ja vabaühenduste uuenduslike ja arengut edendavate tegevuste ja lahenduste rahastamine ja korraldamine</t>
  </si>
  <si>
    <t>2.1. Nupukate lahenduste (NULA) konkurss</t>
  </si>
  <si>
    <t>KÜSKi halduskulud</t>
  </si>
  <si>
    <t>2.5. Tugitegevuste konkurss</t>
  </si>
  <si>
    <t>2.6. MAKidelt tellitavad arenguprogrammid maakondades</t>
  </si>
  <si>
    <t>2.7. KÜSKi poolt korraldatavad algatused</t>
  </si>
  <si>
    <t>2.8. MAKidelt tellitavad MTÜ konsultatsioonid, nõustamised ja teenused</t>
  </si>
  <si>
    <t>2.9. MTÜ konsultantide töökoha- ja halduskulu</t>
  </si>
  <si>
    <t>2.10. MAK MTÜ konsultantide töökoosolekud, koolitused</t>
  </si>
  <si>
    <t>SIM turvalisuse voor</t>
  </si>
  <si>
    <t>ECP</t>
  </si>
  <si>
    <t>Noorte ideekonkurss "Mina suudan"</t>
  </si>
  <si>
    <t>Väliseesti ajalehtede taotlusvoor</t>
  </si>
  <si>
    <t>KÜSK eelmise kalendriaasta jääk</t>
  </si>
  <si>
    <t>-</t>
  </si>
  <si>
    <t>RAM kolimistoetus</t>
  </si>
  <si>
    <t>2021 LISA</t>
  </si>
  <si>
    <t>KÜSKi eelarve 2018-2021</t>
  </si>
  <si>
    <t>Halduskulud</t>
  </si>
  <si>
    <t>1.2.MAK</t>
  </si>
  <si>
    <t>1.3.ECP</t>
  </si>
  <si>
    <t>1.4. Noorte ideekonkurss "Mina suudan"</t>
  </si>
  <si>
    <t>1.5. Väliseesti ajalehtede taotlusvoor</t>
  </si>
  <si>
    <t>1.3 kogukondade arendamise taotlusvoor</t>
  </si>
  <si>
    <t>1.4 väliseesti kogukondade väljaannete voor</t>
  </si>
  <si>
    <t>KULUD KOKKU</t>
  </si>
  <si>
    <t>Kontroll (ressursid - kulud kokku)</t>
  </si>
  <si>
    <t>1.6. Kolimiskulud</t>
  </si>
  <si>
    <t>sh NULA inkubaatori läbiviimine</t>
  </si>
  <si>
    <t>sh NULA inkubaatori läbiviimine Ida-Virumaal 2021–2022</t>
  </si>
  <si>
    <t>sh sotsiaalse innovatsiooni kompetentsikeskuse arendamine*</t>
  </si>
  <si>
    <t>kontroll</t>
  </si>
  <si>
    <t>sh arenguhüppe taotlusvoor</t>
  </si>
  <si>
    <t>sh rahvusvahelise koostöö soodustamine</t>
  </si>
  <si>
    <t>sh KÜSKi poolt korraldatavad algatused</t>
  </si>
  <si>
    <t>sh kodanikuühiskonna suursündmuste toetamine</t>
  </si>
  <si>
    <t>Taotlusvoorude korraldamine</t>
  </si>
  <si>
    <t>sh regionaalne kodanikuühiskonna võimestamine</t>
  </si>
  <si>
    <r>
      <rPr>
        <u/>
        <sz val="10"/>
        <color theme="1"/>
        <rFont val="Times New Roman"/>
        <family val="1"/>
        <charset val="186"/>
      </rPr>
      <t>Oodatavad tulemused:</t>
    </r>
    <r>
      <rPr>
        <sz val="10"/>
        <color theme="1"/>
        <rFont val="Times New Roman"/>
        <family val="1"/>
        <charset val="186"/>
      </rPr>
      <t xml:space="preserve">
- Kogukondade ja KOV-ide tõusnud teadlikkus kohaliku tasandi ja kogukondade koostöövõimalustest 
- KOV tasandil on kogukonnad kaasatud kohaliku elukeskkonna kujundamisse</t>
    </r>
  </si>
  <si>
    <r>
      <rPr>
        <u/>
        <sz val="10"/>
        <color theme="1"/>
        <rFont val="Times New Roman"/>
        <family val="1"/>
        <charset val="186"/>
      </rPr>
      <t>Oodatavad tulemused:</t>
    </r>
    <r>
      <rPr>
        <sz val="10"/>
        <color theme="1"/>
        <rFont val="Times New Roman"/>
        <family val="1"/>
        <charset val="186"/>
      </rPr>
      <t xml:space="preserve">
- vabaühenduste ja sotsiaalsete ettevõtete võimekuse kasv</t>
    </r>
  </si>
  <si>
    <r>
      <rPr>
        <u/>
        <sz val="10"/>
        <color theme="1"/>
        <rFont val="Times New Roman"/>
        <family val="1"/>
        <charset val="186"/>
      </rPr>
      <t>Oodatavad tulemused:</t>
    </r>
    <r>
      <rPr>
        <sz val="10"/>
        <color theme="1"/>
        <rFont val="Times New Roman"/>
        <family val="1"/>
        <charset val="186"/>
      </rPr>
      <t xml:space="preserve">
- Eestis tegutsevate vabaühenduste laialdasem rahvusvaheline koostöö</t>
    </r>
  </si>
  <si>
    <t>2. Võimekad ja hoolivad kogukonnad</t>
  </si>
  <si>
    <t>1. Vabaühenduste ühiskondliku mõju suurendamine</t>
  </si>
  <si>
    <t>3. Kodanikuühiskonna arendamine ja innovatsioon</t>
  </si>
  <si>
    <t>4. Rahvusvahelisele koostööle toetuv kodanikuühiskond</t>
  </si>
  <si>
    <t>Oodatavad tulemused:
- elanike aktiivne kaasatus kodanikuühiskonda
- Eesti elanike kasvanud teadlikkus kodanikuühiskonnast ja ühiskondlike protsesside mõjutamise võimalustest
- kodanikuühiskonnast alguse saanud uued koostöö- ja koosloomemudelite arv</t>
  </si>
  <si>
    <t>Kolimiseelarve jääk</t>
  </si>
  <si>
    <t>1.1 arenguhüpet ettevalmistav taotlusvoor</t>
  </si>
  <si>
    <t>kinnitatud KÜSK nõukogu 26.01.21</t>
  </si>
  <si>
    <t>3.2. Välisprojektide toetamise konkurss</t>
  </si>
  <si>
    <t>2.4. Stipendiumid: parim MTÜ ja noorte ideekonkurss "Mina suudan"</t>
  </si>
  <si>
    <t>1.2 arenguhüppe taotlusvoor (sh tegevuskava ja äriplaani ellu viimine)</t>
  </si>
  <si>
    <t>3.3. Rahvusvaheliste katusorganisatsioonide suursündmuste konkurss</t>
  </si>
  <si>
    <t>lisatud 4442,5 2020 aasta jääk</t>
  </si>
  <si>
    <t>sh vabaühendustele suunatud arenguprogrammid maakondades</t>
  </si>
  <si>
    <t>sh kogukondade arendamine (kaasavalt koostatud ja elluviidud tegevuskavad kohaliku elu parandamiseks)</t>
  </si>
  <si>
    <t>sh arenguhüpet ettevalmistav taotlusvoor</t>
  </si>
  <si>
    <t>* positiivse rahastusotsuse korral tuleb taotleda lisarahastust</t>
  </si>
  <si>
    <t>KÜSK 2021 tegevuskava ja finantsplaan</t>
  </si>
  <si>
    <t>sh väliseesti kogukondade väljaannete voor (rahastusallikas Välisministeerium)</t>
  </si>
  <si>
    <r>
      <rPr>
        <u/>
        <sz val="10"/>
        <color theme="1"/>
        <rFont val="Times New Roman"/>
        <family val="1"/>
        <charset val="186"/>
      </rPr>
      <t>Indikaatorid:</t>
    </r>
    <r>
      <rPr>
        <sz val="10"/>
        <color theme="1"/>
        <rFont val="Times New Roman"/>
        <family val="1"/>
        <charset val="186"/>
      </rPr>
      <t xml:space="preserve">
- KÜSKi toetuse ja nõustamise tulemusena suureneb inimeste kaasatus kogukondlikesse ettevõtmistesse ja kohaliku elu edendamise algatustesse
- </t>
    </r>
    <r>
      <rPr>
        <sz val="10"/>
        <color theme="1"/>
        <rFont val="Times New Roman"/>
        <family val="1"/>
      </rPr>
      <t>elujõuliste kogukondlike võrgustike arv</t>
    </r>
    <r>
      <rPr>
        <i/>
        <sz val="10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  <charset val="186"/>
      </rPr>
      <t xml:space="preserve">- suureneb KOVde osakaal, kes kasutavad KÜSKi abi </t>
    </r>
    <r>
      <rPr>
        <sz val="10"/>
        <color theme="3"/>
        <rFont val="Times New Roman"/>
        <family val="1"/>
      </rPr>
      <t xml:space="preserve">(MAKide vabaühenduste konsultandid) </t>
    </r>
    <r>
      <rPr>
        <sz val="10"/>
        <color theme="1"/>
        <rFont val="Times New Roman"/>
        <family val="1"/>
        <charset val="186"/>
      </rPr>
      <t xml:space="preserve">kogukondliku koostöö edendamisel </t>
    </r>
  </si>
  <si>
    <r>
      <rPr>
        <u/>
        <sz val="10"/>
        <color theme="1"/>
        <rFont val="Times New Roman"/>
        <family val="1"/>
        <charset val="186"/>
      </rPr>
      <t>Indikaatorid:</t>
    </r>
    <r>
      <rPr>
        <sz val="10"/>
        <color theme="1"/>
        <rFont val="Times New Roman"/>
        <family val="1"/>
        <charset val="186"/>
      </rPr>
      <t xml:space="preserve">
- toetuste jagunemine erinevate valdkondade, piirkondlike ja üle-eestiliste, eesti - ja muukeelsete ühingute vahel; kodanikuühiskonna horisontaalsete teemade osas</t>
    </r>
  </si>
  <si>
    <r>
      <rPr>
        <u/>
        <sz val="10"/>
        <color theme="1"/>
        <rFont val="Times New Roman"/>
        <family val="1"/>
        <charset val="186"/>
      </rPr>
      <t>Indikaatorid:</t>
    </r>
    <r>
      <rPr>
        <sz val="10"/>
        <color theme="1"/>
        <rFont val="Times New Roman"/>
        <family val="1"/>
        <charset val="186"/>
      </rPr>
      <t xml:space="preserve">
- klientide rahulolu nõustamisteenusega
- vabaühenduste laiem koostöö teiste asutuste ja organisatsioonidega                                       </t>
    </r>
    <r>
      <rPr>
        <sz val="10"/>
        <rFont val="Times New Roman"/>
        <family val="1"/>
      </rPr>
      <t xml:space="preserve">     - 	tugitegevused on aidanud parandada organisatsioonide võimekust (paranenud on eestvedajate isiklikud pädevused)</t>
    </r>
  </si>
  <si>
    <r>
      <rPr>
        <u/>
        <sz val="10"/>
        <color theme="1"/>
        <rFont val="Times New Roman"/>
        <family val="1"/>
        <charset val="186"/>
      </rPr>
      <t>Indikaatorid:</t>
    </r>
    <r>
      <rPr>
        <sz val="10"/>
        <color theme="1"/>
        <rFont val="Times New Roman"/>
        <family val="1"/>
        <charset val="186"/>
      </rPr>
      <t xml:space="preserve">
- kasvab rahvusvahelistes võrgustikes aktiivselt osalevate vabaühenduste arv
- kasvab edukate rahvusvaheliste koostööprojektide arv
- rahvusvahelisest koostööst tekib Eesti vabakonda lisaressurssi, mis aitab kasvatada Eesti vabakonna mõju</t>
    </r>
  </si>
  <si>
    <r>
      <rPr>
        <u/>
        <sz val="10"/>
        <color theme="1"/>
        <rFont val="Times New Roman"/>
        <family val="1"/>
        <charset val="186"/>
      </rPr>
      <t>Oodatavad tulemused:</t>
    </r>
    <r>
      <rPr>
        <sz val="10"/>
        <color theme="1"/>
        <rFont val="Times New Roman"/>
        <family val="1"/>
        <charset val="186"/>
      </rPr>
      <t xml:space="preserve">
- Eesti elanike kasvanud teadlikkus kodanikuühiskonnast                                                      </t>
    </r>
    <r>
      <rPr>
        <sz val="10"/>
        <rFont val="Times New Roman"/>
        <family val="1"/>
      </rPr>
      <t xml:space="preserve">           - KÜSKi toetuse ja nõustamise tulemusena suureneb inimeste kaasatus kogukondlikesse ettevõtmistesse ja kohaliku elu edendamise algatustesse                                                                  - kontaktpunktina tegutsemine tõstab KÜSKi teadmisi rahvusvahelistest fondidest, kompetentsi koordineerimisest ja nähtavust rahvusvaheliselt</t>
    </r>
  </si>
  <si>
    <r>
      <rPr>
        <u/>
        <sz val="10"/>
        <color theme="1"/>
        <rFont val="Times New Roman"/>
        <family val="1"/>
        <charset val="186"/>
      </rPr>
      <t>Mõõdikud:</t>
    </r>
    <r>
      <rPr>
        <sz val="10"/>
        <color theme="1"/>
        <rFont val="Times New Roman"/>
        <family val="1"/>
        <charset val="186"/>
      </rPr>
      <t xml:space="preserve">
- KÜSKi lai ja kasvavav</t>
    </r>
    <r>
      <rPr>
        <sz val="10"/>
        <rFont val="Times New Roman"/>
        <family val="1"/>
      </rPr>
      <t xml:space="preserve"> kommunikatsioonitegevus                                                                          -	 KÜSKi tegevussuundade läbiviimisel kasutatakse ja arendatakse koostööd vabaühenduste ja teiste asutustega                                                                                </t>
    </r>
    <r>
      <rPr>
        <sz val="10"/>
        <color rgb="FFFF0000"/>
        <rFont val="Times New Roman"/>
        <family val="1"/>
      </rPr>
      <t xml:space="preserve">                                                         </t>
    </r>
  </si>
  <si>
    <t>sh Vabaühenduste tunnustamisüritused maakondades</t>
  </si>
  <si>
    <t>Halduskulud (sh väliseesti kogukondade väljaannete vooru halduskulu (rahastusallikas Välisministeerium)</t>
  </si>
  <si>
    <t>Ümbertõstetud rahvusvahelise suuna realt 15000, EL boonussumma 5000, arenguhüppe taotlusvooru realt 10000</t>
  </si>
  <si>
    <t xml:space="preserve">KÜSKi korraldatavad arendus- ja tugitegevused 2021 ligikaudsed arvestused:           Vabatahtlike tunnustamissündmus  10 000                                               Stipendiumid: parim MTÜ ja noorte ideekonkurss "Mina suudan" 10 000
 KÜSKi kogemuspäev -   ca 6 500,00    
KÜSKi suminar (KÜSKi aktiiv, kaasatavad) - ca 5 000,00
Taotlusvoorude tugitegevused (ava- ja lõpuseminarid, infopäevad, hindajate ja toetuse saajate koolitused, juhtide jututoad) - ca 14 000,00
KÜSKi aasta kokkuvõtte -   3 000,00
KÜSKi juhatuse tellitavad tugitegevused - 3 000,00                                                 MAK konsultantide koolitus 5000                                                                              KÜSK taotlusvoorude online süsteemi arenduseks vajalikud ettevalmistused, lähteülesande koostamine
 Kogusumma piires on KÜSKi juhatusel õigus vahendite kasutamist muuta. </t>
  </si>
  <si>
    <t>Summa SIMIle esitatavas eelarves</t>
  </si>
  <si>
    <t xml:space="preserve">summas sisaldub Vabatahtlike tunnustamissündmus  10 000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</si>
</sst>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2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rgb="FF00B050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1"/>
      <color rgb="FF0070C0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rgb="FF00B05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color rgb="FF0070C0"/>
      <name val="Times New Roman"/>
      <family val="1"/>
      <charset val="186"/>
    </font>
    <font>
      <b/>
      <sz val="11"/>
      <color rgb="FF0070C0"/>
      <name val="Times New Roman"/>
      <family val="1"/>
    </font>
    <font>
      <sz val="10"/>
      <color theme="3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rgb="FF0070C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</cellStyleXfs>
  <cellXfs count="200">
    <xf numFmtId="0" fontId="0" fillId="0" borderId="0" xfId="0"/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8" fillId="0" borderId="0" xfId="0" applyNumberFormat="1" applyFont="1" applyFill="1" applyBorder="1" applyAlignment="1">
      <alignment vertical="center" wrapText="1"/>
    </xf>
    <xf numFmtId="164" fontId="4" fillId="0" borderId="0" xfId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164" fontId="14" fillId="0" borderId="1" xfId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8" fillId="0" borderId="1" xfId="2" applyFont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164" fontId="4" fillId="2" borderId="5" xfId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8" fillId="0" borderId="9" xfId="3" applyFont="1" applyBorder="1" applyAlignment="1">
      <alignment vertical="center" wrapText="1"/>
    </xf>
    <xf numFmtId="164" fontId="4" fillId="0" borderId="10" xfId="2" applyFont="1" applyBorder="1" applyAlignment="1">
      <alignment vertical="center" wrapText="1"/>
    </xf>
    <xf numFmtId="0" fontId="8" fillId="0" borderId="11" xfId="3" applyFont="1" applyBorder="1" applyAlignment="1">
      <alignment vertical="center" wrapText="1"/>
    </xf>
    <xf numFmtId="164" fontId="8" fillId="0" borderId="2" xfId="2" applyFont="1" applyBorder="1" applyAlignment="1">
      <alignment vertical="center" wrapText="1"/>
    </xf>
    <xf numFmtId="164" fontId="4" fillId="0" borderId="12" xfId="2" applyFont="1" applyBorder="1" applyAlignment="1">
      <alignment vertical="center" wrapText="1"/>
    </xf>
    <xf numFmtId="0" fontId="4" fillId="4" borderId="4" xfId="3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0" borderId="14" xfId="3" applyFont="1" applyBorder="1" applyAlignment="1">
      <alignment vertical="center" wrapText="1"/>
    </xf>
    <xf numFmtId="164" fontId="8" fillId="0" borderId="7" xfId="2" applyFont="1" applyBorder="1" applyAlignment="1">
      <alignment vertical="center" wrapText="1"/>
    </xf>
    <xf numFmtId="164" fontId="4" fillId="0" borderId="15" xfId="2" applyFont="1" applyBorder="1" applyAlignment="1">
      <alignment vertical="center" wrapText="1"/>
    </xf>
    <xf numFmtId="0" fontId="4" fillId="0" borderId="4" xfId="3" applyFont="1" applyBorder="1" applyAlignment="1">
      <alignment vertical="center" wrapText="1"/>
    </xf>
    <xf numFmtId="164" fontId="4" fillId="0" borderId="5" xfId="2" applyFont="1" applyBorder="1" applyAlignment="1">
      <alignment vertical="center" wrapText="1"/>
    </xf>
    <xf numFmtId="164" fontId="4" fillId="0" borderId="6" xfId="2" applyFont="1" applyBorder="1" applyAlignment="1">
      <alignment vertical="center" wrapText="1"/>
    </xf>
    <xf numFmtId="164" fontId="8" fillId="0" borderId="2" xfId="1" applyFont="1" applyBorder="1" applyAlignment="1">
      <alignment vertical="center"/>
    </xf>
    <xf numFmtId="164" fontId="8" fillId="0" borderId="1" xfId="1" applyFont="1" applyBorder="1" applyAlignment="1">
      <alignment vertical="center"/>
    </xf>
    <xf numFmtId="164" fontId="8" fillId="0" borderId="7" xfId="1" applyFont="1" applyBorder="1" applyAlignment="1">
      <alignment vertical="center"/>
    </xf>
    <xf numFmtId="164" fontId="14" fillId="0" borderId="1" xfId="1" applyFont="1" applyFill="1" applyBorder="1" applyAlignment="1">
      <alignment vertical="center"/>
    </xf>
    <xf numFmtId="164" fontId="8" fillId="0" borderId="8" xfId="1" applyFont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164" fontId="4" fillId="2" borderId="5" xfId="1" applyFont="1" applyFill="1" applyBorder="1" applyAlignment="1">
      <alignment vertical="center"/>
    </xf>
    <xf numFmtId="164" fontId="1" fillId="0" borderId="1" xfId="1" applyFont="1" applyBorder="1" applyAlignment="1">
      <alignment vertical="center"/>
    </xf>
    <xf numFmtId="164" fontId="8" fillId="0" borderId="7" xfId="1" applyFont="1" applyFill="1" applyBorder="1" applyAlignment="1">
      <alignment vertical="center"/>
    </xf>
    <xf numFmtId="164" fontId="14" fillId="0" borderId="2" xfId="1" applyFont="1" applyFill="1" applyBorder="1" applyAlignment="1">
      <alignment vertical="center"/>
    </xf>
    <xf numFmtId="0" fontId="4" fillId="2" borderId="16" xfId="0" applyFont="1" applyFill="1" applyBorder="1" applyAlignment="1">
      <alignment horizontal="left" vertical="center" wrapText="1"/>
    </xf>
    <xf numFmtId="164" fontId="4" fillId="0" borderId="17" xfId="1" applyFont="1" applyFill="1" applyBorder="1" applyAlignment="1">
      <alignment vertical="center"/>
    </xf>
    <xf numFmtId="164" fontId="4" fillId="0" borderId="18" xfId="1" applyFont="1" applyFill="1" applyBorder="1" applyAlignment="1">
      <alignment vertical="center"/>
    </xf>
    <xf numFmtId="164" fontId="4" fillId="0" borderId="19" xfId="1" applyFont="1" applyFill="1" applyBorder="1" applyAlignment="1">
      <alignment vertical="center"/>
    </xf>
    <xf numFmtId="164" fontId="4" fillId="2" borderId="16" xfId="1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164" fontId="14" fillId="0" borderId="17" xfId="1" applyFont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14" fillId="3" borderId="20" xfId="0" applyFont="1" applyFill="1" applyBorder="1" applyAlignment="1">
      <alignment horizontal="left" vertical="center" wrapText="1"/>
    </xf>
    <xf numFmtId="164" fontId="4" fillId="2" borderId="16" xfId="0" applyNumberFormat="1" applyFont="1" applyFill="1" applyBorder="1" applyAlignment="1">
      <alignment vertical="center"/>
    </xf>
    <xf numFmtId="164" fontId="8" fillId="0" borderId="27" xfId="1" applyFont="1" applyBorder="1" applyAlignment="1">
      <alignment vertical="center"/>
    </xf>
    <xf numFmtId="164" fontId="8" fillId="0" borderId="18" xfId="1" applyFont="1" applyFill="1" applyBorder="1" applyAlignment="1">
      <alignment vertical="center"/>
    </xf>
    <xf numFmtId="164" fontId="8" fillId="0" borderId="18" xfId="1" applyFont="1" applyBorder="1" applyAlignment="1">
      <alignment vertical="center"/>
    </xf>
    <xf numFmtId="164" fontId="4" fillId="0" borderId="18" xfId="1" applyFont="1" applyBorder="1" applyAlignment="1">
      <alignment vertical="center"/>
    </xf>
    <xf numFmtId="164" fontId="9" fillId="0" borderId="18" xfId="1" applyFont="1" applyBorder="1" applyAlignment="1">
      <alignment vertical="center"/>
    </xf>
    <xf numFmtId="164" fontId="8" fillId="0" borderId="19" xfId="1" applyFont="1" applyFill="1" applyBorder="1" applyAlignment="1">
      <alignment vertical="center"/>
    </xf>
    <xf numFmtId="164" fontId="8" fillId="0" borderId="17" xfId="1" applyFont="1" applyBorder="1" applyAlignment="1">
      <alignment vertical="center"/>
    </xf>
    <xf numFmtId="164" fontId="8" fillId="0" borderId="19" xfId="1" applyFont="1" applyBorder="1" applyAlignment="1">
      <alignment vertical="center"/>
    </xf>
    <xf numFmtId="164" fontId="13" fillId="0" borderId="1" xfId="1" applyFont="1" applyBorder="1" applyAlignment="1">
      <alignment vertical="center"/>
    </xf>
    <xf numFmtId="164" fontId="15" fillId="0" borderId="1" xfId="1" applyFont="1" applyBorder="1" applyAlignment="1">
      <alignment vertical="center"/>
    </xf>
    <xf numFmtId="164" fontId="4" fillId="2" borderId="16" xfId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164" fontId="8" fillId="0" borderId="0" xfId="1" applyFont="1" applyAlignment="1">
      <alignment vertical="center"/>
    </xf>
    <xf numFmtId="164" fontId="10" fillId="0" borderId="0" xfId="1" applyFont="1" applyAlignment="1">
      <alignment vertical="center"/>
    </xf>
    <xf numFmtId="164" fontId="16" fillId="0" borderId="18" xfId="1" applyFont="1" applyBorder="1" applyAlignment="1">
      <alignment vertical="center"/>
    </xf>
    <xf numFmtId="164" fontId="4" fillId="0" borderId="20" xfId="1" applyFont="1" applyFill="1" applyBorder="1" applyAlignment="1">
      <alignment vertical="center"/>
    </xf>
    <xf numFmtId="164" fontId="4" fillId="0" borderId="21" xfId="1" applyFont="1" applyFill="1" applyBorder="1" applyAlignment="1">
      <alignment vertical="center"/>
    </xf>
    <xf numFmtId="164" fontId="4" fillId="0" borderId="22" xfId="1" applyFont="1" applyFill="1" applyBorder="1" applyAlignment="1">
      <alignment vertical="center"/>
    </xf>
    <xf numFmtId="164" fontId="4" fillId="2" borderId="3" xfId="1" applyFont="1" applyFill="1" applyBorder="1" applyAlignment="1">
      <alignment vertical="center" wrapText="1"/>
    </xf>
    <xf numFmtId="164" fontId="14" fillId="0" borderId="20" xfId="1" applyFont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164" fontId="8" fillId="0" borderId="28" xfId="1" applyFont="1" applyBorder="1" applyAlignment="1">
      <alignment vertical="center"/>
    </xf>
    <xf numFmtId="164" fontId="8" fillId="0" borderId="21" xfId="1" applyFont="1" applyFill="1" applyBorder="1" applyAlignment="1">
      <alignment vertical="center"/>
    </xf>
    <xf numFmtId="164" fontId="8" fillId="0" borderId="21" xfId="1" applyFont="1" applyBorder="1" applyAlignment="1">
      <alignment vertical="center"/>
    </xf>
    <xf numFmtId="164" fontId="16" fillId="0" borderId="21" xfId="1" applyFont="1" applyBorder="1" applyAlignment="1">
      <alignment vertical="center"/>
    </xf>
    <xf numFmtId="164" fontId="9" fillId="0" borderId="21" xfId="1" applyFont="1" applyBorder="1" applyAlignment="1">
      <alignment vertical="center"/>
    </xf>
    <xf numFmtId="164" fontId="8" fillId="0" borderId="22" xfId="1" applyFont="1" applyFill="1" applyBorder="1" applyAlignment="1">
      <alignment vertical="center"/>
    </xf>
    <xf numFmtId="164" fontId="4" fillId="2" borderId="3" xfId="1" applyFont="1" applyFill="1" applyBorder="1" applyAlignment="1">
      <alignment vertical="center"/>
    </xf>
    <xf numFmtId="164" fontId="8" fillId="0" borderId="20" xfId="1" applyFont="1" applyBorder="1" applyAlignment="1">
      <alignment vertical="center"/>
    </xf>
    <xf numFmtId="164" fontId="14" fillId="0" borderId="7" xfId="1" applyFont="1" applyFill="1" applyBorder="1" applyAlignment="1">
      <alignment vertical="center"/>
    </xf>
    <xf numFmtId="164" fontId="14" fillId="0" borderId="7" xfId="1" applyFont="1" applyBorder="1" applyAlignment="1">
      <alignment vertical="center"/>
    </xf>
    <xf numFmtId="164" fontId="8" fillId="0" borderId="0" xfId="1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 wrapText="1"/>
    </xf>
    <xf numFmtId="164" fontId="4" fillId="0" borderId="31" xfId="1" applyFont="1" applyFill="1" applyBorder="1" applyAlignment="1">
      <alignment vertical="center"/>
    </xf>
    <xf numFmtId="164" fontId="4" fillId="0" borderId="33" xfId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 wrapText="1"/>
    </xf>
    <xf numFmtId="164" fontId="14" fillId="0" borderId="35" xfId="1" applyFont="1" applyFill="1" applyBorder="1" applyAlignment="1">
      <alignment vertical="center"/>
    </xf>
    <xf numFmtId="164" fontId="8" fillId="0" borderId="38" xfId="1" applyFont="1" applyBorder="1" applyAlignment="1">
      <alignment vertical="center"/>
    </xf>
    <xf numFmtId="164" fontId="8" fillId="0" borderId="36" xfId="1" applyFont="1" applyBorder="1" applyAlignment="1">
      <alignment vertical="center"/>
    </xf>
    <xf numFmtId="164" fontId="13" fillId="0" borderId="36" xfId="1" applyFont="1" applyBorder="1" applyAlignment="1">
      <alignment vertical="center"/>
    </xf>
    <xf numFmtId="164" fontId="14" fillId="0" borderId="36" xfId="1" applyFont="1" applyBorder="1" applyAlignment="1">
      <alignment vertical="center"/>
    </xf>
    <xf numFmtId="164" fontId="14" fillId="0" borderId="39" xfId="1" applyFont="1" applyBorder="1" applyAlignment="1">
      <alignment vertical="center"/>
    </xf>
    <xf numFmtId="164" fontId="8" fillId="0" borderId="39" xfId="1" applyFont="1" applyBorder="1" applyAlignment="1">
      <alignment vertical="center"/>
    </xf>
    <xf numFmtId="0" fontId="2" fillId="0" borderId="29" xfId="0" applyFont="1" applyFill="1" applyBorder="1" applyAlignment="1">
      <alignment horizontal="left" vertical="center" wrapText="1"/>
    </xf>
    <xf numFmtId="164" fontId="4" fillId="0" borderId="40" xfId="1" applyFont="1" applyFill="1" applyBorder="1" applyAlignment="1">
      <alignment vertical="center"/>
    </xf>
    <xf numFmtId="164" fontId="4" fillId="0" borderId="29" xfId="1" applyFont="1" applyFill="1" applyBorder="1" applyAlignment="1">
      <alignment vertical="center"/>
    </xf>
    <xf numFmtId="164" fontId="4" fillId="0" borderId="42" xfId="1" applyFont="1" applyFill="1" applyBorder="1" applyAlignment="1">
      <alignment vertical="center"/>
    </xf>
    <xf numFmtId="164" fontId="4" fillId="0" borderId="21" xfId="1" quotePrefix="1" applyFont="1" applyFill="1" applyBorder="1" applyAlignment="1">
      <alignment horizontal="right" vertical="center"/>
    </xf>
    <xf numFmtId="164" fontId="4" fillId="0" borderId="32" xfId="1" quotePrefix="1" applyFont="1" applyFill="1" applyBorder="1" applyAlignment="1">
      <alignment horizontal="right" vertical="center"/>
    </xf>
    <xf numFmtId="0" fontId="4" fillId="5" borderId="3" xfId="0" applyFont="1" applyFill="1" applyBorder="1" applyAlignment="1">
      <alignment horizontal="center" vertical="center" wrapText="1"/>
    </xf>
    <xf numFmtId="164" fontId="4" fillId="0" borderId="43" xfId="1" applyFont="1" applyFill="1" applyBorder="1" applyAlignment="1">
      <alignment vertical="center"/>
    </xf>
    <xf numFmtId="164" fontId="4" fillId="0" borderId="44" xfId="1" applyFont="1" applyFill="1" applyBorder="1" applyAlignment="1">
      <alignment vertical="center"/>
    </xf>
    <xf numFmtId="164" fontId="4" fillId="0" borderId="45" xfId="1" applyFont="1" applyFill="1" applyBorder="1" applyAlignment="1">
      <alignment vertical="center"/>
    </xf>
    <xf numFmtId="164" fontId="4" fillId="0" borderId="46" xfId="1" applyFont="1" applyFill="1" applyBorder="1" applyAlignment="1">
      <alignment vertical="center"/>
    </xf>
    <xf numFmtId="164" fontId="4" fillId="0" borderId="28" xfId="1" applyFont="1" applyFill="1" applyBorder="1" applyAlignment="1">
      <alignment vertical="center"/>
    </xf>
    <xf numFmtId="164" fontId="4" fillId="0" borderId="24" xfId="1" quotePrefix="1" applyFont="1" applyFill="1" applyBorder="1" applyAlignment="1">
      <alignment horizontal="right" vertical="center"/>
    </xf>
    <xf numFmtId="164" fontId="4" fillId="0" borderId="25" xfId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164" fontId="8" fillId="0" borderId="40" xfId="0" applyNumberFormat="1" applyFont="1" applyFill="1" applyBorder="1" applyAlignment="1">
      <alignment vertical="center"/>
    </xf>
    <xf numFmtId="164" fontId="8" fillId="0" borderId="41" xfId="1" applyFont="1" applyFill="1" applyBorder="1" applyAlignment="1">
      <alignment vertical="center"/>
    </xf>
    <xf numFmtId="164" fontId="8" fillId="0" borderId="29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vertical="center"/>
    </xf>
    <xf numFmtId="164" fontId="8" fillId="0" borderId="13" xfId="1" applyFont="1" applyFill="1" applyBorder="1" applyAlignment="1">
      <alignment vertical="center"/>
    </xf>
    <xf numFmtId="164" fontId="8" fillId="0" borderId="25" xfId="0" applyNumberFormat="1" applyFont="1" applyFill="1" applyBorder="1" applyAlignment="1">
      <alignment vertical="center"/>
    </xf>
    <xf numFmtId="0" fontId="14" fillId="3" borderId="29" xfId="0" applyFont="1" applyFill="1" applyBorder="1" applyAlignment="1">
      <alignment horizontal="left" vertical="center" wrapText="1"/>
    </xf>
    <xf numFmtId="164" fontId="14" fillId="0" borderId="40" xfId="1" applyFont="1" applyBorder="1" applyAlignment="1">
      <alignment vertical="center"/>
    </xf>
    <xf numFmtId="164" fontId="14" fillId="0" borderId="41" xfId="1" applyFont="1" applyBorder="1" applyAlignment="1">
      <alignment vertical="center"/>
    </xf>
    <xf numFmtId="164" fontId="14" fillId="0" borderId="41" xfId="1" applyFont="1" applyFill="1" applyBorder="1" applyAlignment="1">
      <alignment vertical="center"/>
    </xf>
    <xf numFmtId="164" fontId="14" fillId="0" borderId="29" xfId="1" applyFont="1" applyBorder="1" applyAlignment="1">
      <alignment vertical="center"/>
    </xf>
    <xf numFmtId="164" fontId="14" fillId="0" borderId="0" xfId="1" applyFont="1" applyFill="1" applyBorder="1" applyAlignment="1">
      <alignment vertical="center"/>
    </xf>
    <xf numFmtId="0" fontId="14" fillId="3" borderId="22" xfId="0" applyFont="1" applyFill="1" applyBorder="1" applyAlignment="1">
      <alignment horizontal="left" vertical="center" wrapText="1"/>
    </xf>
    <xf numFmtId="164" fontId="14" fillId="0" borderId="19" xfId="1" applyFont="1" applyBorder="1" applyAlignment="1">
      <alignment vertical="center"/>
    </xf>
    <xf numFmtId="164" fontId="14" fillId="0" borderId="22" xfId="1" applyFont="1" applyBorder="1" applyAlignment="1">
      <alignment vertical="center"/>
    </xf>
    <xf numFmtId="164" fontId="4" fillId="2" borderId="47" xfId="1" applyFont="1" applyFill="1" applyBorder="1" applyAlignment="1">
      <alignment vertical="center"/>
    </xf>
    <xf numFmtId="164" fontId="4" fillId="2" borderId="34" xfId="1" applyFont="1" applyFill="1" applyBorder="1" applyAlignment="1">
      <alignment vertical="center"/>
    </xf>
    <xf numFmtId="164" fontId="8" fillId="0" borderId="35" xfId="1" applyFont="1" applyFill="1" applyBorder="1" applyAlignment="1">
      <alignment vertical="center"/>
    </xf>
    <xf numFmtId="164" fontId="8" fillId="0" borderId="36" xfId="1" applyFont="1" applyFill="1" applyBorder="1" applyAlignment="1">
      <alignment vertical="center"/>
    </xf>
    <xf numFmtId="164" fontId="8" fillId="0" borderId="37" xfId="1" applyFont="1" applyFill="1" applyBorder="1" applyAlignment="1">
      <alignment vertical="center"/>
    </xf>
    <xf numFmtId="0" fontId="4" fillId="5" borderId="26" xfId="0" applyFont="1" applyFill="1" applyBorder="1" applyAlignment="1">
      <alignment horizontal="center" vertical="center" wrapText="1"/>
    </xf>
    <xf numFmtId="164" fontId="4" fillId="0" borderId="36" xfId="1" quotePrefix="1" applyFont="1" applyFill="1" applyBorder="1" applyAlignment="1">
      <alignment horizontal="right" vertical="center"/>
    </xf>
    <xf numFmtId="164" fontId="4" fillId="0" borderId="49" xfId="1" applyFont="1" applyFill="1" applyBorder="1" applyAlignment="1">
      <alignment vertical="center"/>
    </xf>
    <xf numFmtId="164" fontId="4" fillId="0" borderId="50" xfId="1" applyFont="1" applyFill="1" applyBorder="1" applyAlignment="1">
      <alignment vertical="center"/>
    </xf>
    <xf numFmtId="164" fontId="4" fillId="0" borderId="26" xfId="0" applyNumberFormat="1" applyFont="1" applyFill="1" applyBorder="1" applyAlignment="1">
      <alignment vertical="center"/>
    </xf>
    <xf numFmtId="164" fontId="14" fillId="0" borderId="0" xfId="1" applyFont="1" applyBorder="1" applyAlignment="1">
      <alignment vertical="center"/>
    </xf>
    <xf numFmtId="164" fontId="8" fillId="0" borderId="28" xfId="1" applyFont="1" applyFill="1" applyBorder="1" applyAlignment="1">
      <alignment vertical="center"/>
    </xf>
    <xf numFmtId="0" fontId="4" fillId="2" borderId="52" xfId="0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vertical="center" wrapText="1"/>
    </xf>
    <xf numFmtId="164" fontId="4" fillId="2" borderId="52" xfId="1" applyFont="1" applyFill="1" applyBorder="1" applyAlignment="1">
      <alignment vertical="center" wrapText="1"/>
    </xf>
    <xf numFmtId="164" fontId="8" fillId="0" borderId="52" xfId="1" applyFont="1" applyFill="1" applyBorder="1" applyAlignment="1">
      <alignment vertical="center"/>
    </xf>
    <xf numFmtId="0" fontId="1" fillId="0" borderId="52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left" vertical="center" wrapText="1" indent="1"/>
    </xf>
    <xf numFmtId="164" fontId="4" fillId="2" borderId="52" xfId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164" fontId="19" fillId="0" borderId="0" xfId="1" applyFont="1" applyAlignment="1">
      <alignment vertical="center"/>
    </xf>
    <xf numFmtId="0" fontId="22" fillId="2" borderId="3" xfId="0" applyFont="1" applyFill="1" applyBorder="1" applyAlignment="1">
      <alignment vertical="center" wrapText="1"/>
    </xf>
    <xf numFmtId="0" fontId="1" fillId="3" borderId="29" xfId="0" applyFont="1" applyFill="1" applyBorder="1" applyAlignment="1">
      <alignment vertical="center" wrapText="1"/>
    </xf>
    <xf numFmtId="0" fontId="1" fillId="3" borderId="2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3" borderId="28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22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4" fillId="3" borderId="52" xfId="1" applyFont="1" applyFill="1" applyBorder="1" applyAlignment="1">
      <alignment vertical="center"/>
    </xf>
    <xf numFmtId="0" fontId="16" fillId="3" borderId="52" xfId="0" applyFont="1" applyFill="1" applyBorder="1" applyAlignment="1">
      <alignment wrapText="1"/>
    </xf>
    <xf numFmtId="0" fontId="21" fillId="0" borderId="0" xfId="0" applyFont="1"/>
    <xf numFmtId="164" fontId="4" fillId="0" borderId="48" xfId="1" applyFont="1" applyFill="1" applyBorder="1" applyAlignment="1">
      <alignment vertical="center"/>
    </xf>
    <xf numFmtId="164" fontId="14" fillId="0" borderId="20" xfId="1" applyFont="1" applyFill="1" applyBorder="1" applyAlignment="1">
      <alignment vertical="center"/>
    </xf>
    <xf numFmtId="164" fontId="14" fillId="0" borderId="22" xfId="1" applyFont="1" applyFill="1" applyBorder="1" applyAlignment="1">
      <alignment vertical="center"/>
    </xf>
    <xf numFmtId="164" fontId="14" fillId="0" borderId="29" xfId="1" applyFont="1" applyFill="1" applyBorder="1" applyAlignment="1">
      <alignment vertical="center"/>
    </xf>
    <xf numFmtId="0" fontId="8" fillId="0" borderId="0" xfId="0" applyFont="1"/>
    <xf numFmtId="164" fontId="26" fillId="0" borderId="0" xfId="1" applyFont="1" applyFill="1" applyAlignment="1">
      <alignment vertical="center"/>
    </xf>
    <xf numFmtId="0" fontId="26" fillId="0" borderId="0" xfId="0" applyFont="1" applyAlignment="1">
      <alignment vertical="center"/>
    </xf>
    <xf numFmtId="164" fontId="10" fillId="0" borderId="0" xfId="1" applyFont="1" applyBorder="1" applyAlignment="1">
      <alignment vertical="center"/>
    </xf>
    <xf numFmtId="164" fontId="10" fillId="0" borderId="0" xfId="1" applyFont="1" applyFill="1" applyBorder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0" borderId="0" xfId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64" fontId="26" fillId="0" borderId="0" xfId="1" applyFont="1" applyAlignment="1">
      <alignment vertical="center"/>
    </xf>
    <xf numFmtId="164" fontId="27" fillId="0" borderId="0" xfId="0" applyNumberFormat="1" applyFont="1" applyAlignment="1">
      <alignment vertical="center"/>
    </xf>
    <xf numFmtId="164" fontId="8" fillId="6" borderId="0" xfId="0" applyNumberFormat="1" applyFont="1" applyFill="1" applyAlignment="1">
      <alignment vertical="center"/>
    </xf>
    <xf numFmtId="164" fontId="10" fillId="0" borderId="0" xfId="1" applyFont="1" applyFill="1" applyBorder="1" applyAlignment="1">
      <alignment vertical="center" wrapText="1"/>
    </xf>
    <xf numFmtId="164" fontId="8" fillId="0" borderId="0" xfId="0" applyNumberFormat="1" applyFont="1" applyBorder="1" applyAlignment="1">
      <alignment vertical="center"/>
    </xf>
    <xf numFmtId="49" fontId="10" fillId="0" borderId="0" xfId="1" applyNumberFormat="1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49" fontId="10" fillId="0" borderId="0" xfId="1" applyNumberFormat="1" applyFont="1" applyAlignment="1">
      <alignment vertical="center" wrapText="1"/>
    </xf>
    <xf numFmtId="49" fontId="31" fillId="0" borderId="0" xfId="0" applyNumberFormat="1" applyFont="1" applyAlignment="1">
      <alignment wrapText="1"/>
    </xf>
    <xf numFmtId="49" fontId="14" fillId="0" borderId="0" xfId="0" applyNumberFormat="1" applyFont="1" applyAlignment="1">
      <alignment wrapText="1"/>
    </xf>
    <xf numFmtId="164" fontId="8" fillId="0" borderId="33" xfId="1" applyFont="1" applyFill="1" applyBorder="1" applyAlignment="1">
      <alignment horizontal="center" vertical="center"/>
    </xf>
    <xf numFmtId="164" fontId="8" fillId="0" borderId="51" xfId="1" applyFont="1" applyFill="1" applyBorder="1" applyAlignment="1">
      <alignment horizontal="center" vertical="center"/>
    </xf>
    <xf numFmtId="164" fontId="8" fillId="0" borderId="22" xfId="1" applyFont="1" applyBorder="1" applyAlignment="1">
      <alignment horizontal="center" vertical="center"/>
    </xf>
    <xf numFmtId="164" fontId="8" fillId="0" borderId="25" xfId="1" applyFont="1" applyBorder="1" applyAlignment="1">
      <alignment horizontal="center" vertical="center"/>
    </xf>
    <xf numFmtId="164" fontId="8" fillId="0" borderId="22" xfId="1" applyFont="1" applyFill="1" applyBorder="1" applyAlignment="1">
      <alignment horizontal="center" vertical="center"/>
    </xf>
    <xf numFmtId="164" fontId="8" fillId="0" borderId="25" xfId="1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left" vertical="center" wrapText="1" indent="1"/>
    </xf>
    <xf numFmtId="164" fontId="21" fillId="0" borderId="52" xfId="1" applyFont="1" applyFill="1" applyBorder="1" applyAlignment="1">
      <alignment vertical="center"/>
    </xf>
  </cellXfs>
  <cellStyles count="4">
    <cellStyle name="Comma 4" xfId="2" xr:uid="{00000000-0005-0000-0000-000001000000}"/>
    <cellStyle name="Koma" xfId="1" builtinId="3"/>
    <cellStyle name="Normaallaad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70"/>
  <sheetViews>
    <sheetView topLeftCell="A13" zoomScale="82" zoomScaleNormal="82" workbookViewId="0">
      <selection activeCell="H53" sqref="H53:I53"/>
    </sheetView>
  </sheetViews>
  <sheetFormatPr defaultColWidth="9.140625" defaultRowHeight="15" x14ac:dyDescent="0.25"/>
  <cols>
    <col min="1" max="1" width="1.7109375" style="3" customWidth="1"/>
    <col min="2" max="2" width="71.140625" style="3" customWidth="1"/>
    <col min="3" max="3" width="13.5703125" style="3" hidden="1" customWidth="1"/>
    <col min="4" max="4" width="17.7109375" style="3" hidden="1" customWidth="1"/>
    <col min="5" max="6" width="17.85546875" style="3" hidden="1" customWidth="1"/>
    <col min="7" max="7" width="17.85546875" style="3" customWidth="1"/>
    <col min="8" max="9" width="17.140625" style="3" customWidth="1"/>
    <col min="10" max="10" width="32.28515625" style="71" hidden="1" customWidth="1"/>
    <col min="11" max="11" width="14.7109375" style="3" hidden="1" customWidth="1"/>
    <col min="12" max="12" width="17.140625" style="3" customWidth="1"/>
    <col min="13" max="16384" width="9.140625" style="3"/>
  </cols>
  <sheetData>
    <row r="1" spans="2:15" ht="18.75" x14ac:dyDescent="0.25">
      <c r="B1" s="8" t="s">
        <v>40</v>
      </c>
      <c r="C1" s="8"/>
      <c r="H1" s="117"/>
      <c r="I1" s="8"/>
      <c r="L1" s="117"/>
    </row>
    <row r="2" spans="2:15" ht="15.75" thickBot="1" x14ac:dyDescent="0.3">
      <c r="B2" s="15"/>
      <c r="C2" s="5"/>
      <c r="D2" s="5"/>
      <c r="H2" s="5"/>
      <c r="I2" s="5"/>
      <c r="L2" s="5"/>
    </row>
    <row r="3" spans="2:15" ht="43.5" thickBot="1" x14ac:dyDescent="0.3">
      <c r="B3" s="49" t="s">
        <v>0</v>
      </c>
      <c r="C3" s="44" t="s">
        <v>21</v>
      </c>
      <c r="D3" s="17" t="s">
        <v>22</v>
      </c>
      <c r="E3" s="27">
        <v>2018</v>
      </c>
      <c r="F3" s="80">
        <v>2019</v>
      </c>
      <c r="G3" s="92">
        <v>2020</v>
      </c>
      <c r="H3" s="80">
        <v>2021</v>
      </c>
      <c r="I3" s="138" t="s">
        <v>39</v>
      </c>
      <c r="J3" s="72"/>
      <c r="K3" s="9"/>
    </row>
    <row r="4" spans="2:15" s="6" customFormat="1" ht="14.25" x14ac:dyDescent="0.25">
      <c r="B4" s="50" t="s">
        <v>1</v>
      </c>
      <c r="C4" s="45">
        <v>30410.37</v>
      </c>
      <c r="D4" s="110">
        <f>1300000</f>
        <v>1300000</v>
      </c>
      <c r="E4" s="114">
        <f>1300000</f>
        <v>1300000</v>
      </c>
      <c r="F4" s="114">
        <f>1300000</f>
        <v>1300000</v>
      </c>
      <c r="G4" s="93">
        <v>1296270</v>
      </c>
      <c r="H4" s="169">
        <f>1300000-6395</f>
        <v>1293605</v>
      </c>
      <c r="I4" s="142">
        <v>390000</v>
      </c>
      <c r="J4" s="174"/>
      <c r="K4" s="175"/>
    </row>
    <row r="5" spans="2:15" s="6" customFormat="1" ht="14.25" x14ac:dyDescent="0.25">
      <c r="B5" s="50" t="s">
        <v>36</v>
      </c>
      <c r="C5" s="45"/>
      <c r="D5" s="110"/>
      <c r="E5" s="107">
        <v>32910.370000000003</v>
      </c>
      <c r="F5" s="107">
        <v>45830.97</v>
      </c>
      <c r="G5" s="93">
        <v>36162.639999999999</v>
      </c>
      <c r="H5" s="169">
        <f>31006.66+3025+5825.46+75000+4442.5+197</f>
        <v>119496.62</v>
      </c>
      <c r="I5" s="74"/>
      <c r="J5" s="174"/>
      <c r="K5" s="175"/>
    </row>
    <row r="6" spans="2:15" s="6" customFormat="1" ht="14.25" hidden="1" x14ac:dyDescent="0.25">
      <c r="B6" s="51" t="s">
        <v>32</v>
      </c>
      <c r="C6" s="46">
        <v>2500</v>
      </c>
      <c r="D6" s="111">
        <v>0</v>
      </c>
      <c r="E6" s="75"/>
      <c r="F6" s="107" t="s">
        <v>37</v>
      </c>
      <c r="G6" s="108" t="s">
        <v>37</v>
      </c>
      <c r="H6" s="139" t="s">
        <v>37</v>
      </c>
      <c r="I6" s="107" t="s">
        <v>37</v>
      </c>
      <c r="J6" s="174"/>
      <c r="K6" s="175"/>
    </row>
    <row r="7" spans="2:15" s="9" customFormat="1" x14ac:dyDescent="0.25">
      <c r="B7" s="52" t="s">
        <v>2</v>
      </c>
      <c r="C7" s="47">
        <v>0</v>
      </c>
      <c r="D7" s="112">
        <v>333000</v>
      </c>
      <c r="E7" s="76">
        <f>SUM(C7:D7)</f>
        <v>333000</v>
      </c>
      <c r="F7" s="76">
        <v>465000</v>
      </c>
      <c r="G7" s="94">
        <v>465000</v>
      </c>
      <c r="H7" s="140">
        <v>465000</v>
      </c>
      <c r="I7" s="76"/>
      <c r="J7" s="72"/>
    </row>
    <row r="8" spans="2:15" s="9" customFormat="1" x14ac:dyDescent="0.25">
      <c r="B8" s="103" t="s">
        <v>33</v>
      </c>
      <c r="C8" s="104"/>
      <c r="D8" s="113"/>
      <c r="E8" s="105">
        <v>25000</v>
      </c>
      <c r="F8" s="105">
        <v>25000</v>
      </c>
      <c r="G8" s="106">
        <v>30200</v>
      </c>
      <c r="H8" s="141">
        <f>6050</f>
        <v>6050</v>
      </c>
      <c r="I8" s="105"/>
      <c r="J8" s="180"/>
    </row>
    <row r="9" spans="2:15" s="9" customFormat="1" x14ac:dyDescent="0.25">
      <c r="B9" s="103" t="s">
        <v>34</v>
      </c>
      <c r="C9" s="104"/>
      <c r="D9" s="113"/>
      <c r="E9" s="107" t="s">
        <v>37</v>
      </c>
      <c r="F9" s="105">
        <v>6500</v>
      </c>
      <c r="G9" s="106">
        <v>5500</v>
      </c>
      <c r="H9" s="141">
        <v>5000</v>
      </c>
      <c r="I9" s="105"/>
      <c r="J9" s="72"/>
    </row>
    <row r="10" spans="2:15" s="9" customFormat="1" x14ac:dyDescent="0.25">
      <c r="B10" s="103" t="s">
        <v>35</v>
      </c>
      <c r="C10" s="104"/>
      <c r="D10" s="113"/>
      <c r="E10" s="107" t="s">
        <v>37</v>
      </c>
      <c r="F10" s="107" t="s">
        <v>37</v>
      </c>
      <c r="G10" s="106">
        <v>50000</v>
      </c>
      <c r="H10" s="141">
        <v>50000</v>
      </c>
      <c r="I10" s="105"/>
      <c r="J10" s="72" t="s">
        <v>93</v>
      </c>
    </row>
    <row r="11" spans="2:15" s="9" customFormat="1" ht="15.75" thickBot="1" x14ac:dyDescent="0.3">
      <c r="B11" s="103" t="s">
        <v>38</v>
      </c>
      <c r="C11" s="104"/>
      <c r="D11" s="113"/>
      <c r="E11" s="115" t="s">
        <v>37</v>
      </c>
      <c r="F11" s="116"/>
      <c r="G11" s="108">
        <f>39400-H11</f>
        <v>31736.720000000001</v>
      </c>
      <c r="H11" s="116">
        <v>7663.28</v>
      </c>
      <c r="I11" s="116" t="s">
        <v>37</v>
      </c>
      <c r="J11" s="72">
        <v>2226111.1</v>
      </c>
      <c r="K11" s="179">
        <f>J11-J12-50000</f>
        <v>-41207.180000000168</v>
      </c>
    </row>
    <row r="12" spans="2:15" ht="15.75" thickBot="1" x14ac:dyDescent="0.3">
      <c r="B12" s="53" t="s">
        <v>3</v>
      </c>
      <c r="C12" s="48">
        <f>C4+C7+C6</f>
        <v>32910.369999999995</v>
      </c>
      <c r="D12" s="18">
        <f>D4+D7+D6</f>
        <v>1633000</v>
      </c>
      <c r="E12" s="77">
        <f>SUM(E4:E10)</f>
        <v>1690910.37</v>
      </c>
      <c r="F12" s="77">
        <f>SUM(F4:F10)</f>
        <v>1842330.97</v>
      </c>
      <c r="G12" s="77">
        <f>SUM(G4:G11)</f>
        <v>1914869.3599999999</v>
      </c>
      <c r="H12" s="77">
        <f>SUM(H4:H11)</f>
        <v>1946814.9000000001</v>
      </c>
      <c r="I12" s="77">
        <f>SUM(I4:I11)</f>
        <v>390000</v>
      </c>
      <c r="J12" s="176">
        <f>H12+I12-H5</f>
        <v>2217318.2800000003</v>
      </c>
      <c r="K12" s="9"/>
    </row>
    <row r="13" spans="2:15" ht="15.75" thickBot="1" x14ac:dyDescent="0.3">
      <c r="B13" s="2"/>
      <c r="J13" s="176"/>
      <c r="K13" s="9"/>
    </row>
    <row r="14" spans="2:15" ht="43.5" customHeight="1" thickBot="1" x14ac:dyDescent="0.3">
      <c r="B14" s="56" t="s">
        <v>41</v>
      </c>
      <c r="C14" s="54" t="s">
        <v>21</v>
      </c>
      <c r="D14" s="19" t="s">
        <v>22</v>
      </c>
      <c r="E14" s="27">
        <v>2018</v>
      </c>
      <c r="F14" s="80">
        <v>2019</v>
      </c>
      <c r="G14" s="92">
        <v>2020</v>
      </c>
      <c r="H14" s="80">
        <v>2021</v>
      </c>
      <c r="I14" s="109" t="s">
        <v>39</v>
      </c>
      <c r="J14" s="176"/>
      <c r="K14" s="9"/>
    </row>
    <row r="15" spans="2:15" ht="15" customHeight="1" x14ac:dyDescent="0.25">
      <c r="B15" s="57" t="s">
        <v>10</v>
      </c>
      <c r="C15" s="55">
        <v>0</v>
      </c>
      <c r="D15" s="43">
        <v>237532</v>
      </c>
      <c r="E15" s="43">
        <v>240032</v>
      </c>
      <c r="F15" s="78">
        <v>234400</v>
      </c>
      <c r="G15" s="96">
        <v>251653</v>
      </c>
      <c r="H15" s="170">
        <f>G15-6395+31006.66</f>
        <v>276264.65999999997</v>
      </c>
      <c r="I15" s="78">
        <f>G15-6395</f>
        <v>245258</v>
      </c>
      <c r="J15" s="177" t="s">
        <v>69</v>
      </c>
      <c r="K15" s="178">
        <f>39440-31776.72</f>
        <v>7663.2799999999988</v>
      </c>
      <c r="M15" s="1"/>
      <c r="N15" s="1"/>
      <c r="O15" s="1"/>
    </row>
    <row r="16" spans="2:15" ht="15" customHeight="1" x14ac:dyDescent="0.25">
      <c r="B16" s="130" t="s">
        <v>42</v>
      </c>
      <c r="C16" s="131">
        <v>0</v>
      </c>
      <c r="D16" s="90">
        <v>35000</v>
      </c>
      <c r="E16" s="89">
        <f>SUM(C16:D16)</f>
        <v>35000</v>
      </c>
      <c r="F16" s="132">
        <v>35000</v>
      </c>
      <c r="G16" s="132">
        <v>35000</v>
      </c>
      <c r="H16" s="171">
        <f>G16+3025</f>
        <v>38025</v>
      </c>
      <c r="I16" s="132">
        <f>G16</f>
        <v>35000</v>
      </c>
      <c r="J16" s="177"/>
      <c r="K16" s="178"/>
      <c r="M16" s="1"/>
      <c r="N16" s="1"/>
      <c r="O16" s="1"/>
    </row>
    <row r="17" spans="2:15" ht="15" customHeight="1" x14ac:dyDescent="0.25">
      <c r="B17" s="57" t="s">
        <v>43</v>
      </c>
      <c r="C17" s="125"/>
      <c r="D17" s="126"/>
      <c r="E17" s="127">
        <v>25000</v>
      </c>
      <c r="F17" s="128">
        <v>25000</v>
      </c>
      <c r="G17" s="129">
        <v>30200</v>
      </c>
      <c r="H17" s="172">
        <f>6050+5825.46</f>
        <v>11875.46</v>
      </c>
      <c r="I17" s="128">
        <v>6050</v>
      </c>
      <c r="J17" s="177"/>
      <c r="K17" s="183"/>
      <c r="M17" s="1"/>
      <c r="N17" s="1"/>
      <c r="O17" s="1"/>
    </row>
    <row r="18" spans="2:15" ht="15.75" customHeight="1" x14ac:dyDescent="0.25">
      <c r="B18" s="130" t="s">
        <v>44</v>
      </c>
      <c r="C18" s="131">
        <v>0</v>
      </c>
      <c r="D18" s="90">
        <v>35000</v>
      </c>
      <c r="E18" s="89"/>
      <c r="F18" s="132">
        <v>500</v>
      </c>
      <c r="G18" s="132">
        <v>500</v>
      </c>
      <c r="H18" s="171">
        <v>500</v>
      </c>
      <c r="I18" s="132">
        <f>H18</f>
        <v>500</v>
      </c>
      <c r="J18" s="180"/>
      <c r="K18" s="178"/>
      <c r="M18" s="1"/>
      <c r="N18" s="1"/>
      <c r="O18" s="1"/>
    </row>
    <row r="19" spans="2:15" ht="15.75" customHeight="1" x14ac:dyDescent="0.25">
      <c r="B19" s="124" t="s">
        <v>45</v>
      </c>
      <c r="C19" s="125"/>
      <c r="D19" s="126"/>
      <c r="E19" s="127"/>
      <c r="F19" s="128"/>
      <c r="G19" s="143">
        <v>5000</v>
      </c>
      <c r="H19" s="172">
        <v>5000</v>
      </c>
      <c r="I19" s="128">
        <f>H19</f>
        <v>5000</v>
      </c>
      <c r="J19" s="180"/>
      <c r="K19" s="178"/>
      <c r="M19" s="1"/>
      <c r="N19" s="1"/>
      <c r="O19" s="1"/>
    </row>
    <row r="20" spans="2:15" ht="15.75" customHeight="1" thickBot="1" x14ac:dyDescent="0.3">
      <c r="B20" s="124" t="s">
        <v>50</v>
      </c>
      <c r="C20" s="125"/>
      <c r="D20" s="126"/>
      <c r="E20" s="127"/>
      <c r="F20" s="128"/>
      <c r="G20" s="129"/>
      <c r="H20" s="128">
        <f>K15</f>
        <v>7663.2799999999988</v>
      </c>
      <c r="I20" s="128">
        <f>H20</f>
        <v>7663.2799999999988</v>
      </c>
      <c r="J20" s="180"/>
      <c r="K20" s="178"/>
      <c r="M20" s="1"/>
      <c r="N20" s="1"/>
      <c r="O20" s="1"/>
    </row>
    <row r="21" spans="2:15" ht="15.75" customHeight="1" thickBot="1" x14ac:dyDescent="0.3">
      <c r="B21" s="53" t="s">
        <v>9</v>
      </c>
      <c r="C21" s="48" t="e">
        <f>#REF!+#REF!</f>
        <v>#REF!</v>
      </c>
      <c r="D21" s="133" t="e">
        <f>#REF!+#REF!</f>
        <v>#REF!</v>
      </c>
      <c r="E21" s="87">
        <f>SUM(E15:E20)</f>
        <v>300032</v>
      </c>
      <c r="F21" s="134">
        <f>SUM(F15:F20)</f>
        <v>294900</v>
      </c>
      <c r="G21" s="87">
        <f>SUM(G15:G20)</f>
        <v>322353</v>
      </c>
      <c r="H21" s="134">
        <f>SUM(H15:H20)</f>
        <v>339328.4</v>
      </c>
      <c r="I21" s="87">
        <f>SUM(I15:I20)</f>
        <v>299471.28000000003</v>
      </c>
      <c r="J21" s="72">
        <f>305866.28</f>
        <v>305866.28000000003</v>
      </c>
      <c r="K21" s="178">
        <f>J21-I21</f>
        <v>6395</v>
      </c>
    </row>
    <row r="22" spans="2:15" x14ac:dyDescent="0.25">
      <c r="E22" s="4"/>
      <c r="G22" s="4"/>
      <c r="J22" s="72"/>
      <c r="K22" s="9"/>
    </row>
    <row r="23" spans="2:15" ht="18.75" x14ac:dyDescent="0.25">
      <c r="B23" s="8" t="s">
        <v>7</v>
      </c>
      <c r="J23" s="72"/>
      <c r="K23" s="178"/>
    </row>
    <row r="24" spans="2:15" ht="15.75" thickBot="1" x14ac:dyDescent="0.3">
      <c r="B24" s="6" t="s">
        <v>8</v>
      </c>
      <c r="J24" s="72"/>
      <c r="K24" s="178"/>
    </row>
    <row r="25" spans="2:15" s="6" customFormat="1" ht="43.5" thickBot="1" x14ac:dyDescent="0.3">
      <c r="B25" s="155" t="s">
        <v>59</v>
      </c>
      <c r="C25" s="54" t="s">
        <v>21</v>
      </c>
      <c r="D25" s="19" t="s">
        <v>22</v>
      </c>
      <c r="E25" s="27">
        <v>2018</v>
      </c>
      <c r="F25" s="80">
        <v>2019</v>
      </c>
      <c r="G25" s="92">
        <v>2020</v>
      </c>
      <c r="H25" s="80">
        <v>2021</v>
      </c>
      <c r="I25" s="109" t="s">
        <v>39</v>
      </c>
      <c r="J25" s="182"/>
      <c r="K25" s="178"/>
    </row>
    <row r="26" spans="2:15" x14ac:dyDescent="0.25">
      <c r="B26" s="156" t="s">
        <v>70</v>
      </c>
      <c r="C26" s="118">
        <v>0</v>
      </c>
      <c r="D26" s="119">
        <v>300000</v>
      </c>
      <c r="E26" s="119">
        <f>SUM(C26:D26)</f>
        <v>300000</v>
      </c>
      <c r="F26" s="120">
        <v>200000</v>
      </c>
      <c r="G26" s="91">
        <v>140947</v>
      </c>
      <c r="H26" s="120">
        <v>141000</v>
      </c>
      <c r="I26" s="120"/>
      <c r="J26" s="72" t="s">
        <v>71</v>
      </c>
      <c r="K26" s="72">
        <v>141000</v>
      </c>
    </row>
    <row r="27" spans="2:15" x14ac:dyDescent="0.25">
      <c r="B27" s="156" t="s">
        <v>74</v>
      </c>
      <c r="C27" s="118">
        <v>0</v>
      </c>
      <c r="D27" s="119">
        <v>310000</v>
      </c>
      <c r="E27" s="119">
        <f>SUM(C27:D27)</f>
        <v>310000</v>
      </c>
      <c r="F27" s="120">
        <v>419830.97</v>
      </c>
      <c r="G27" s="91">
        <v>464000</v>
      </c>
      <c r="H27" s="120">
        <f>464000-10000</f>
        <v>454000</v>
      </c>
      <c r="I27" s="120"/>
      <c r="J27" s="72"/>
      <c r="K27" s="178"/>
    </row>
    <row r="28" spans="2:15" x14ac:dyDescent="0.25">
      <c r="B28" s="156" t="s">
        <v>46</v>
      </c>
      <c r="C28" s="118">
        <v>0</v>
      </c>
      <c r="D28" s="119">
        <v>310000</v>
      </c>
      <c r="E28" s="119" t="s">
        <v>37</v>
      </c>
      <c r="F28" s="120" t="s">
        <v>37</v>
      </c>
      <c r="G28" s="91" t="s">
        <v>37</v>
      </c>
      <c r="H28" s="120" t="s">
        <v>37</v>
      </c>
      <c r="I28" s="120">
        <f>300000</f>
        <v>300000</v>
      </c>
      <c r="J28" s="72"/>
      <c r="K28" s="178"/>
    </row>
    <row r="29" spans="2:15" ht="15.75" thickBot="1" x14ac:dyDescent="0.3">
      <c r="B29" s="157" t="s">
        <v>47</v>
      </c>
      <c r="C29" s="121">
        <v>0</v>
      </c>
      <c r="D29" s="122">
        <v>310000</v>
      </c>
      <c r="E29" s="122" t="s">
        <v>37</v>
      </c>
      <c r="F29" s="123" t="s">
        <v>37</v>
      </c>
      <c r="G29" s="137">
        <v>45000</v>
      </c>
      <c r="H29" s="123">
        <f>45000</f>
        <v>45000</v>
      </c>
      <c r="I29" s="123"/>
      <c r="J29" s="72"/>
      <c r="K29" s="178"/>
      <c r="L29"/>
    </row>
    <row r="30" spans="2:15" ht="15.75" thickBot="1" x14ac:dyDescent="0.3">
      <c r="B30" s="158" t="s">
        <v>3</v>
      </c>
      <c r="C30" s="58">
        <f t="shared" ref="C30:I30" si="0">SUM(C26:C29)</f>
        <v>0</v>
      </c>
      <c r="D30" s="39">
        <f t="shared" si="0"/>
        <v>1230000</v>
      </c>
      <c r="E30" s="40">
        <f t="shared" si="0"/>
        <v>610000</v>
      </c>
      <c r="F30" s="79">
        <f t="shared" si="0"/>
        <v>619830.97</v>
      </c>
      <c r="G30" s="79">
        <f t="shared" si="0"/>
        <v>649947</v>
      </c>
      <c r="H30" s="79">
        <f t="shared" si="0"/>
        <v>640000</v>
      </c>
      <c r="I30" s="79">
        <f t="shared" si="0"/>
        <v>300000</v>
      </c>
      <c r="J30" s="72"/>
      <c r="K30" s="178"/>
      <c r="L30"/>
    </row>
    <row r="31" spans="2:15" x14ac:dyDescent="0.25">
      <c r="B31" s="159"/>
      <c r="C31" s="10"/>
      <c r="D31" s="10"/>
      <c r="E31" s="11"/>
      <c r="F31" s="10"/>
      <c r="G31" s="11"/>
      <c r="H31" s="10"/>
      <c r="I31" s="10"/>
      <c r="J31" s="72"/>
      <c r="K31" s="9"/>
      <c r="L31"/>
    </row>
    <row r="32" spans="2:15" ht="15.75" thickBot="1" x14ac:dyDescent="0.3">
      <c r="B32" s="160" t="s">
        <v>6</v>
      </c>
      <c r="J32" s="72"/>
      <c r="K32" s="9"/>
      <c r="L32"/>
    </row>
    <row r="33" spans="2:12" s="7" customFormat="1" ht="43.5" thickBot="1" x14ac:dyDescent="0.3">
      <c r="B33" s="158" t="s">
        <v>23</v>
      </c>
      <c r="C33" s="54" t="s">
        <v>21</v>
      </c>
      <c r="D33" s="19" t="s">
        <v>22</v>
      </c>
      <c r="E33" s="27">
        <v>2018</v>
      </c>
      <c r="F33" s="80">
        <v>2019</v>
      </c>
      <c r="G33" s="92">
        <v>2020</v>
      </c>
      <c r="H33" s="80">
        <v>2021</v>
      </c>
      <c r="I33" s="109" t="s">
        <v>39</v>
      </c>
      <c r="J33" s="180"/>
      <c r="K33" s="9"/>
      <c r="L33"/>
    </row>
    <row r="34" spans="2:12" s="12" customFormat="1" x14ac:dyDescent="0.25">
      <c r="B34" s="161" t="s">
        <v>24</v>
      </c>
      <c r="C34" s="59">
        <v>0</v>
      </c>
      <c r="D34" s="38">
        <v>93000</v>
      </c>
      <c r="E34" s="38">
        <f t="shared" ref="E34:E41" si="1">SUM(C34:D34)</f>
        <v>93000</v>
      </c>
      <c r="F34" s="81">
        <v>105000</v>
      </c>
      <c r="G34" s="97">
        <v>105000</v>
      </c>
      <c r="H34" s="81">
        <f>105000+75000</f>
        <v>180000</v>
      </c>
      <c r="I34" s="81">
        <v>90000</v>
      </c>
      <c r="J34" s="180"/>
      <c r="K34" s="181"/>
      <c r="L34"/>
    </row>
    <row r="35" spans="2:12" s="12" customFormat="1" x14ac:dyDescent="0.25">
      <c r="B35" s="162" t="s">
        <v>17</v>
      </c>
      <c r="C35" s="60">
        <v>0</v>
      </c>
      <c r="D35" s="35">
        <v>0</v>
      </c>
      <c r="E35" s="35">
        <f t="shared" si="1"/>
        <v>0</v>
      </c>
      <c r="F35" s="82">
        <v>0</v>
      </c>
      <c r="G35" s="98">
        <v>0</v>
      </c>
      <c r="H35" s="82"/>
      <c r="I35" s="82"/>
      <c r="J35" s="180"/>
      <c r="K35" s="178"/>
      <c r="L35"/>
    </row>
    <row r="36" spans="2:12" s="12" customFormat="1" x14ac:dyDescent="0.25">
      <c r="B36" s="162" t="s">
        <v>18</v>
      </c>
      <c r="C36" s="61">
        <v>0</v>
      </c>
      <c r="D36" s="41">
        <v>116900</v>
      </c>
      <c r="E36" s="35">
        <f t="shared" si="1"/>
        <v>116900</v>
      </c>
      <c r="F36" s="83">
        <v>153900</v>
      </c>
      <c r="G36" s="98">
        <v>130400</v>
      </c>
      <c r="H36" s="83">
        <v>104442.5</v>
      </c>
      <c r="I36" s="83"/>
      <c r="J36" s="72" t="s">
        <v>71</v>
      </c>
      <c r="K36" s="178" t="s">
        <v>76</v>
      </c>
      <c r="L36"/>
    </row>
    <row r="37" spans="2:12" s="12" customFormat="1" x14ac:dyDescent="0.25">
      <c r="B37" s="162" t="s">
        <v>73</v>
      </c>
      <c r="C37" s="62">
        <v>0</v>
      </c>
      <c r="D37" s="35">
        <v>5000</v>
      </c>
      <c r="E37" s="35">
        <f t="shared" si="1"/>
        <v>5000</v>
      </c>
      <c r="F37" s="83">
        <v>5000</v>
      </c>
      <c r="G37" s="98">
        <v>10000</v>
      </c>
      <c r="H37" s="83">
        <f>G37</f>
        <v>10000</v>
      </c>
      <c r="I37" s="83"/>
      <c r="J37" s="180"/>
      <c r="K37" s="178"/>
      <c r="L37"/>
    </row>
    <row r="38" spans="2:12" s="12" customFormat="1" x14ac:dyDescent="0.25">
      <c r="B38" s="163" t="s">
        <v>26</v>
      </c>
      <c r="C38" s="73">
        <v>30410.37</v>
      </c>
      <c r="D38" s="68">
        <f>53000+918</f>
        <v>53918</v>
      </c>
      <c r="E38" s="67">
        <f t="shared" si="1"/>
        <v>84328.37</v>
      </c>
      <c r="F38" s="84">
        <v>0</v>
      </c>
      <c r="G38" s="136">
        <v>0</v>
      </c>
      <c r="H38" s="84">
        <v>0</v>
      </c>
      <c r="I38" s="84"/>
      <c r="J38" s="180"/>
      <c r="K38" s="181"/>
      <c r="L38"/>
    </row>
    <row r="39" spans="2:12" s="12" customFormat="1" x14ac:dyDescent="0.25">
      <c r="B39" s="156" t="s">
        <v>27</v>
      </c>
      <c r="C39" s="63">
        <v>0</v>
      </c>
      <c r="D39" s="67">
        <v>68000</v>
      </c>
      <c r="E39" s="67">
        <f t="shared" si="1"/>
        <v>68000</v>
      </c>
      <c r="F39" s="85">
        <v>68000</v>
      </c>
      <c r="G39" s="99">
        <v>25000</v>
      </c>
      <c r="H39" s="84">
        <v>30474.799999999999</v>
      </c>
      <c r="I39" s="85"/>
      <c r="J39" s="180"/>
      <c r="K39" s="181"/>
      <c r="L39"/>
    </row>
    <row r="40" spans="2:12" s="12" customFormat="1" x14ac:dyDescent="0.25">
      <c r="B40" s="164" t="s">
        <v>28</v>
      </c>
      <c r="C40" s="63">
        <v>0</v>
      </c>
      <c r="D40" s="68">
        <v>34650</v>
      </c>
      <c r="E40" s="67">
        <f t="shared" si="1"/>
        <v>34650</v>
      </c>
      <c r="F40" s="85">
        <v>44700</v>
      </c>
      <c r="G40" s="99">
        <v>32000</v>
      </c>
      <c r="H40" s="84">
        <v>49327.519999999997</v>
      </c>
      <c r="I40" s="85"/>
      <c r="J40" s="180"/>
      <c r="K40" s="181"/>
      <c r="L40"/>
    </row>
    <row r="41" spans="2:12" s="12" customFormat="1" x14ac:dyDescent="0.25">
      <c r="B41" s="162" t="s">
        <v>29</v>
      </c>
      <c r="C41" s="46">
        <v>0</v>
      </c>
      <c r="D41" s="37">
        <v>294000</v>
      </c>
      <c r="E41" s="14">
        <f t="shared" si="1"/>
        <v>294000</v>
      </c>
      <c r="F41" s="82">
        <v>294000</v>
      </c>
      <c r="G41" s="100">
        <v>294000</v>
      </c>
      <c r="H41" s="82">
        <v>294000</v>
      </c>
      <c r="I41" s="82"/>
      <c r="J41" s="180"/>
      <c r="K41" s="181"/>
      <c r="L41"/>
    </row>
    <row r="42" spans="2:12" s="12" customFormat="1" x14ac:dyDescent="0.25">
      <c r="B42" s="163" t="s">
        <v>30</v>
      </c>
      <c r="C42" s="47"/>
      <c r="D42" s="89"/>
      <c r="E42" s="90"/>
      <c r="F42" s="86">
        <v>132000</v>
      </c>
      <c r="G42" s="101">
        <v>132000</v>
      </c>
      <c r="H42" s="86">
        <v>132000</v>
      </c>
      <c r="I42" s="86"/>
      <c r="J42" s="180"/>
      <c r="K42" s="181"/>
      <c r="L42"/>
    </row>
    <row r="43" spans="2:12" s="12" customFormat="1" ht="15.75" thickBot="1" x14ac:dyDescent="0.3">
      <c r="B43" s="163" t="s">
        <v>31</v>
      </c>
      <c r="C43" s="64">
        <v>0</v>
      </c>
      <c r="D43" s="42">
        <v>4000</v>
      </c>
      <c r="E43" s="36">
        <f>SUM(C43:D43)</f>
        <v>4000</v>
      </c>
      <c r="F43" s="86">
        <v>4000</v>
      </c>
      <c r="G43" s="102">
        <v>4000</v>
      </c>
      <c r="H43" s="86">
        <v>4000</v>
      </c>
      <c r="I43" s="86"/>
      <c r="J43" s="180"/>
      <c r="K43" s="181"/>
      <c r="L43"/>
    </row>
    <row r="44" spans="2:12" s="12" customFormat="1" ht="15.75" thickBot="1" x14ac:dyDescent="0.3">
      <c r="B44" s="158" t="s">
        <v>4</v>
      </c>
      <c r="C44" s="69">
        <f>C43+C41+C37+C36+C35+C34+C38+C39+C40</f>
        <v>30410.37</v>
      </c>
      <c r="D44" s="40">
        <f>D43+D41+D37+D36+D35+D34+D38+D39+D40</f>
        <v>669468</v>
      </c>
      <c r="E44" s="40">
        <f>E43+E41+E37+E36+E35+E34+E38+E39+E40</f>
        <v>699878.37</v>
      </c>
      <c r="F44" s="87">
        <f>SUM(F34:F43)</f>
        <v>806600</v>
      </c>
      <c r="G44" s="87">
        <f>SUM(G34:G43)</f>
        <v>732400</v>
      </c>
      <c r="H44" s="87">
        <f>SUM(H34:H43)</f>
        <v>804244.82000000007</v>
      </c>
      <c r="I44" s="87">
        <f>SUM(I34:I43)</f>
        <v>90000</v>
      </c>
      <c r="J44" s="180"/>
      <c r="K44" s="181"/>
      <c r="L44"/>
    </row>
    <row r="45" spans="2:12" x14ac:dyDescent="0.25">
      <c r="B45" s="165"/>
      <c r="E45" s="13"/>
      <c r="G45" s="13"/>
      <c r="J45" s="72"/>
      <c r="K45" s="9"/>
      <c r="L45"/>
    </row>
    <row r="46" spans="2:12" ht="15.75" thickBot="1" x14ac:dyDescent="0.3">
      <c r="B46" s="160" t="s">
        <v>5</v>
      </c>
      <c r="J46" s="72"/>
      <c r="K46" s="9"/>
      <c r="L46"/>
    </row>
    <row r="47" spans="2:12" s="6" customFormat="1" ht="43.5" thickBot="1" x14ac:dyDescent="0.3">
      <c r="B47" s="155" t="s">
        <v>20</v>
      </c>
      <c r="C47" s="54" t="s">
        <v>21</v>
      </c>
      <c r="D47" s="19" t="s">
        <v>22</v>
      </c>
      <c r="E47" s="27">
        <v>2018</v>
      </c>
      <c r="F47" s="80">
        <v>2019</v>
      </c>
      <c r="G47" s="92">
        <v>2020</v>
      </c>
      <c r="H47" s="80">
        <v>2021</v>
      </c>
      <c r="I47" s="109" t="s">
        <v>39</v>
      </c>
      <c r="J47" s="182"/>
      <c r="K47" s="175"/>
      <c r="L47"/>
    </row>
    <row r="48" spans="2:12" x14ac:dyDescent="0.25">
      <c r="B48" s="164" t="s">
        <v>19</v>
      </c>
      <c r="C48" s="65">
        <v>0</v>
      </c>
      <c r="D48" s="34">
        <v>20000</v>
      </c>
      <c r="E48" s="34">
        <f>SUM(C48:D48)</f>
        <v>20000</v>
      </c>
      <c r="F48" s="88">
        <v>30000</v>
      </c>
      <c r="G48" s="144">
        <v>40000</v>
      </c>
      <c r="H48" s="135">
        <f>40000-5000</f>
        <v>35000</v>
      </c>
      <c r="I48" s="88"/>
      <c r="J48" s="72"/>
      <c r="K48" s="9"/>
      <c r="L48"/>
    </row>
    <row r="49" spans="2:12" x14ac:dyDescent="0.25">
      <c r="B49" s="162" t="s">
        <v>72</v>
      </c>
      <c r="C49" s="61">
        <v>0</v>
      </c>
      <c r="D49" s="35">
        <v>37000</v>
      </c>
      <c r="E49" s="35">
        <f>SUM(C49:D49)</f>
        <v>37000</v>
      </c>
      <c r="F49" s="194">
        <v>85000</v>
      </c>
      <c r="G49" s="196">
        <v>106000</v>
      </c>
      <c r="H49" s="192">
        <f>106000-10000</f>
        <v>96000</v>
      </c>
      <c r="I49" s="194"/>
      <c r="J49" s="185"/>
      <c r="K49" s="179"/>
      <c r="L49"/>
    </row>
    <row r="50" spans="2:12" ht="15.75" thickBot="1" x14ac:dyDescent="0.3">
      <c r="B50" s="163" t="s">
        <v>75</v>
      </c>
      <c r="C50" s="66">
        <v>0</v>
      </c>
      <c r="D50" s="36">
        <v>24000</v>
      </c>
      <c r="E50" s="36">
        <f>SUM(C50:D50)</f>
        <v>24000</v>
      </c>
      <c r="F50" s="195"/>
      <c r="G50" s="197"/>
      <c r="H50" s="193"/>
      <c r="I50" s="195"/>
      <c r="L50"/>
    </row>
    <row r="51" spans="2:12" ht="15.75" thickBot="1" x14ac:dyDescent="0.3">
      <c r="B51" s="70" t="s">
        <v>3</v>
      </c>
      <c r="C51" s="69">
        <f t="shared" ref="C51:I53" si="2">SUM(C48:C50)</f>
        <v>0</v>
      </c>
      <c r="D51" s="40">
        <f t="shared" si="2"/>
        <v>81000</v>
      </c>
      <c r="E51" s="40">
        <f t="shared" si="2"/>
        <v>81000</v>
      </c>
      <c r="F51" s="87">
        <f t="shared" si="2"/>
        <v>115000</v>
      </c>
      <c r="G51" s="87">
        <f t="shared" si="2"/>
        <v>146000</v>
      </c>
      <c r="H51" s="87">
        <f t="shared" si="2"/>
        <v>131000</v>
      </c>
      <c r="I51" s="87">
        <f t="shared" si="2"/>
        <v>0</v>
      </c>
      <c r="L51"/>
    </row>
    <row r="52" spans="2:12" ht="15.75" thickBot="1" x14ac:dyDescent="0.3">
      <c r="L52"/>
    </row>
    <row r="53" spans="2:12" ht="15.75" thickBot="1" x14ac:dyDescent="0.3">
      <c r="B53" s="70" t="s">
        <v>48</v>
      </c>
      <c r="C53" s="69">
        <f t="shared" si="2"/>
        <v>0</v>
      </c>
      <c r="D53" s="40">
        <f t="shared" si="2"/>
        <v>105000</v>
      </c>
      <c r="E53" s="40">
        <f>E21+E30+E44+E51</f>
        <v>1690910.37</v>
      </c>
      <c r="F53" s="40">
        <f>F21+F30+F44+F51</f>
        <v>1836330.97</v>
      </c>
      <c r="G53" s="40">
        <f>G21+G30+G44+G51</f>
        <v>1850700</v>
      </c>
      <c r="H53" s="40">
        <f>H21+H30+H44+H51</f>
        <v>1914573.2200000002</v>
      </c>
      <c r="I53" s="40">
        <f>I21+I30+I44+I51</f>
        <v>689471.28</v>
      </c>
      <c r="L53"/>
    </row>
    <row r="54" spans="2:12" ht="15.75" hidden="1" thickBot="1" x14ac:dyDescent="0.3">
      <c r="B54" s="5"/>
      <c r="C54" s="5"/>
      <c r="D54" s="5"/>
      <c r="E54" s="5"/>
      <c r="F54" s="5"/>
      <c r="G54" s="5"/>
      <c r="H54" s="186"/>
      <c r="I54" s="5"/>
      <c r="L54"/>
    </row>
    <row r="55" spans="2:12" ht="43.5" hidden="1" thickBot="1" x14ac:dyDescent="0.3">
      <c r="B55" s="25" t="s">
        <v>12</v>
      </c>
      <c r="C55" s="26" t="s">
        <v>21</v>
      </c>
      <c r="D55" s="26" t="s">
        <v>22</v>
      </c>
      <c r="E55" s="26">
        <v>2018</v>
      </c>
      <c r="F55" s="95"/>
      <c r="G55" s="95"/>
      <c r="H55" s="80">
        <v>2019</v>
      </c>
      <c r="I55" s="80">
        <v>2019</v>
      </c>
      <c r="L55"/>
    </row>
    <row r="56" spans="2:12" hidden="1" x14ac:dyDescent="0.25">
      <c r="B56" s="22" t="s">
        <v>25</v>
      </c>
      <c r="C56" s="23">
        <v>2500</v>
      </c>
      <c r="D56" s="23">
        <f>D15</f>
        <v>237532</v>
      </c>
      <c r="E56" s="24">
        <f>SUM(C56:D56)</f>
        <v>240032</v>
      </c>
      <c r="F56" s="24"/>
      <c r="G56" s="24"/>
      <c r="H56" s="24"/>
      <c r="I56" s="24"/>
      <c r="L56"/>
    </row>
    <row r="57" spans="2:12" hidden="1" x14ac:dyDescent="0.25">
      <c r="B57" s="20" t="s">
        <v>13</v>
      </c>
      <c r="C57" s="16">
        <f>C18</f>
        <v>0</v>
      </c>
      <c r="D57" s="16">
        <f>D18</f>
        <v>35000</v>
      </c>
      <c r="E57" s="21">
        <f>SUM(C57:D57)</f>
        <v>35000</v>
      </c>
      <c r="F57" s="21"/>
      <c r="G57" s="21"/>
      <c r="H57" s="21"/>
      <c r="I57" s="21"/>
      <c r="L57"/>
    </row>
    <row r="58" spans="2:12" hidden="1" x14ac:dyDescent="0.25">
      <c r="B58" s="20" t="s">
        <v>14</v>
      </c>
      <c r="C58" s="16">
        <f>C30</f>
        <v>0</v>
      </c>
      <c r="D58" s="16">
        <f>D30</f>
        <v>1230000</v>
      </c>
      <c r="E58" s="21">
        <f>SUM(C58:D58)</f>
        <v>1230000</v>
      </c>
      <c r="F58" s="21"/>
      <c r="G58" s="21"/>
      <c r="H58" s="21"/>
      <c r="I58" s="21"/>
    </row>
    <row r="59" spans="2:12" hidden="1" x14ac:dyDescent="0.25">
      <c r="B59" s="20" t="s">
        <v>15</v>
      </c>
      <c r="C59" s="16">
        <f>C44</f>
        <v>30410.37</v>
      </c>
      <c r="D59" s="16">
        <f>D44</f>
        <v>669468</v>
      </c>
      <c r="E59" s="21">
        <f>SUM(C59:D59)</f>
        <v>699878.37</v>
      </c>
      <c r="F59" s="21"/>
      <c r="G59" s="21"/>
      <c r="H59" s="21"/>
      <c r="I59" s="21"/>
    </row>
    <row r="60" spans="2:12" ht="15.75" hidden="1" thickBot="1" x14ac:dyDescent="0.3">
      <c r="B60" s="28" t="s">
        <v>16</v>
      </c>
      <c r="C60" s="29">
        <f>C51</f>
        <v>0</v>
      </c>
      <c r="D60" s="29">
        <f>D51</f>
        <v>81000</v>
      </c>
      <c r="E60" s="30">
        <f>SUM(C60:D60)</f>
        <v>81000</v>
      </c>
      <c r="F60" s="30"/>
      <c r="G60" s="30"/>
      <c r="H60" s="30"/>
      <c r="I60" s="30"/>
    </row>
    <row r="61" spans="2:12" ht="15.75" hidden="1" thickBot="1" x14ac:dyDescent="0.3">
      <c r="B61" s="31" t="s">
        <v>3</v>
      </c>
      <c r="C61" s="32">
        <f>SUM(C56:C60)</f>
        <v>32910.369999999995</v>
      </c>
      <c r="D61" s="32">
        <f>SUM(D56:D60)</f>
        <v>2253000</v>
      </c>
      <c r="E61" s="33">
        <f>SUM(E56:E60)</f>
        <v>2285910.37</v>
      </c>
      <c r="F61" s="33"/>
      <c r="G61" s="33"/>
      <c r="H61" s="33"/>
      <c r="I61" s="33"/>
    </row>
    <row r="62" spans="2:12" hidden="1" x14ac:dyDescent="0.25"/>
    <row r="63" spans="2:12" hidden="1" x14ac:dyDescent="0.25">
      <c r="B63" s="3" t="s">
        <v>49</v>
      </c>
      <c r="E63" s="4">
        <f>E12-E53</f>
        <v>0</v>
      </c>
      <c r="F63" s="4">
        <f>F12-F53</f>
        <v>6000</v>
      </c>
      <c r="G63" s="4">
        <f>G12-G53</f>
        <v>64169.35999999987</v>
      </c>
      <c r="H63" s="184">
        <f>H12-H53</f>
        <v>32241.679999999935</v>
      </c>
      <c r="I63" s="4">
        <f>I12-I53</f>
        <v>-299471.28000000003</v>
      </c>
    </row>
    <row r="64" spans="2:12" hidden="1" x14ac:dyDescent="0.25"/>
    <row r="70" spans="5:5" x14ac:dyDescent="0.25">
      <c r="E70" s="3" t="s">
        <v>11</v>
      </c>
    </row>
  </sheetData>
  <mergeCells count="4">
    <mergeCell ref="H49:H50"/>
    <mergeCell ref="F49:F50"/>
    <mergeCell ref="I49:I50"/>
    <mergeCell ref="G49:G50"/>
  </mergeCells>
  <pageMargins left="0.51181102362204722" right="0.51181102362204722" top="0.55118110236220474" bottom="0.55118110236220474" header="0.31496062992125984" footer="0.31496062992125984"/>
  <pageSetup paperSize="9" scale="55" orientation="landscape" r:id="rId1"/>
  <rowBreaks count="2" manualBreakCount="2">
    <brk id="31" max="5" man="1"/>
    <brk id="45" max="5" man="1"/>
  </rowBreaks>
  <colBreaks count="1" manualBreakCount="1">
    <brk id="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4"/>
  <sheetViews>
    <sheetView tabSelected="1" zoomScale="130" zoomScaleNormal="130" workbookViewId="0"/>
  </sheetViews>
  <sheetFormatPr defaultRowHeight="15" x14ac:dyDescent="0.25"/>
  <cols>
    <col min="1" max="1" width="71.140625" style="3" customWidth="1"/>
    <col min="2" max="2" width="17.140625" style="3" customWidth="1"/>
    <col min="3" max="3" width="30.28515625" style="188" customWidth="1"/>
    <col min="4" max="4" width="16.5703125" customWidth="1"/>
  </cols>
  <sheetData>
    <row r="1" spans="1:4" x14ac:dyDescent="0.25">
      <c r="A1" s="145" t="s">
        <v>81</v>
      </c>
      <c r="B1" s="146">
        <v>2021</v>
      </c>
      <c r="C1" s="191"/>
    </row>
    <row r="2" spans="1:4" x14ac:dyDescent="0.25">
      <c r="A2" s="147" t="s">
        <v>65</v>
      </c>
      <c r="B2" s="152">
        <f>SUM(B5:B9)</f>
        <v>969442.5</v>
      </c>
    </row>
    <row r="3" spans="1:4" ht="26.25" x14ac:dyDescent="0.25">
      <c r="A3" s="167" t="s">
        <v>62</v>
      </c>
      <c r="B3" s="166"/>
    </row>
    <row r="4" spans="1:4" ht="39" x14ac:dyDescent="0.25">
      <c r="A4" s="167" t="s">
        <v>84</v>
      </c>
      <c r="B4" s="166"/>
    </row>
    <row r="5" spans="1:4" x14ac:dyDescent="0.25">
      <c r="A5" s="150" t="s">
        <v>79</v>
      </c>
      <c r="B5" s="149">
        <f>Eelarve!H26</f>
        <v>141000</v>
      </c>
      <c r="C5" s="189"/>
      <c r="D5" s="72"/>
    </row>
    <row r="6" spans="1:4" x14ac:dyDescent="0.25">
      <c r="A6" s="150" t="s">
        <v>55</v>
      </c>
      <c r="B6" s="149">
        <f>Eelarve!H27</f>
        <v>454000</v>
      </c>
    </row>
    <row r="7" spans="1:4" x14ac:dyDescent="0.25">
      <c r="A7" s="151" t="s">
        <v>51</v>
      </c>
      <c r="B7" s="149">
        <f>Eelarve!H34</f>
        <v>180000</v>
      </c>
    </row>
    <row r="8" spans="1:4" x14ac:dyDescent="0.25">
      <c r="A8" s="151" t="s">
        <v>52</v>
      </c>
      <c r="B8" s="149">
        <f>Eelarve!I34</f>
        <v>90000</v>
      </c>
    </row>
    <row r="9" spans="1:4" x14ac:dyDescent="0.25">
      <c r="A9" s="151" t="s">
        <v>58</v>
      </c>
      <c r="B9" s="149">
        <f>Eelarve!H36</f>
        <v>104442.5</v>
      </c>
      <c r="C9" s="189"/>
      <c r="D9" s="178"/>
    </row>
    <row r="10" spans="1:4" x14ac:dyDescent="0.25">
      <c r="A10" s="150"/>
      <c r="B10" s="149"/>
    </row>
    <row r="11" spans="1:4" x14ac:dyDescent="0.25">
      <c r="A11" s="147" t="s">
        <v>64</v>
      </c>
      <c r="B11" s="152">
        <f>SUM(B14:B15)</f>
        <v>330474.8</v>
      </c>
    </row>
    <row r="12" spans="1:4" ht="51.75" x14ac:dyDescent="0.25">
      <c r="A12" s="167" t="s">
        <v>61</v>
      </c>
      <c r="B12" s="166"/>
    </row>
    <row r="13" spans="1:4" ht="77.25" x14ac:dyDescent="0.25">
      <c r="A13" s="167" t="s">
        <v>83</v>
      </c>
      <c r="B13" s="166"/>
    </row>
    <row r="14" spans="1:4" ht="30" x14ac:dyDescent="0.25">
      <c r="A14" s="150" t="s">
        <v>78</v>
      </c>
      <c r="B14" s="149">
        <f>Eelarve!I28</f>
        <v>300000</v>
      </c>
      <c r="C14" s="190"/>
    </row>
    <row r="15" spans="1:4" x14ac:dyDescent="0.25">
      <c r="A15" s="150" t="s">
        <v>77</v>
      </c>
      <c r="B15" s="149">
        <f>Eelarve!H39</f>
        <v>30474.799999999999</v>
      </c>
    </row>
    <row r="16" spans="1:4" x14ac:dyDescent="0.25">
      <c r="A16" s="150"/>
      <c r="B16" s="149"/>
    </row>
    <row r="17" spans="1:4" ht="39" customHeight="1" x14ac:dyDescent="0.25">
      <c r="A17" s="147" t="s">
        <v>66</v>
      </c>
      <c r="B17" s="152">
        <f>SUM(B20:B23)</f>
        <v>519327.52</v>
      </c>
    </row>
    <row r="18" spans="1:4" ht="64.5" x14ac:dyDescent="0.25">
      <c r="A18" s="167" t="s">
        <v>68</v>
      </c>
      <c r="B18" s="166"/>
    </row>
    <row r="19" spans="1:4" ht="67.5" customHeight="1" x14ac:dyDescent="0.25">
      <c r="A19" s="167" t="s">
        <v>85</v>
      </c>
      <c r="B19" s="166"/>
    </row>
    <row r="20" spans="1:4" x14ac:dyDescent="0.25">
      <c r="A20" s="151" t="s">
        <v>60</v>
      </c>
      <c r="B20" s="149">
        <f>Eelarve!H41+Eelarve!H42+Eelarve!H43</f>
        <v>430000</v>
      </c>
    </row>
    <row r="21" spans="1:4" ht="90" x14ac:dyDescent="0.25">
      <c r="A21" s="151" t="s">
        <v>89</v>
      </c>
      <c r="B21" s="149">
        <v>30000</v>
      </c>
      <c r="C21" s="188" t="s">
        <v>91</v>
      </c>
    </row>
    <row r="22" spans="1:4" x14ac:dyDescent="0.25">
      <c r="A22" s="198" t="s">
        <v>53</v>
      </c>
      <c r="B22" s="199">
        <v>0</v>
      </c>
    </row>
    <row r="23" spans="1:4" ht="30" x14ac:dyDescent="0.25">
      <c r="A23" s="151" t="s">
        <v>57</v>
      </c>
      <c r="B23" s="149">
        <f>Eelarve!H40+Eelarve!H37</f>
        <v>59327.519999999997</v>
      </c>
      <c r="C23" s="188" t="s">
        <v>94</v>
      </c>
    </row>
    <row r="24" spans="1:4" ht="195" x14ac:dyDescent="0.25">
      <c r="A24" s="150" t="s">
        <v>92</v>
      </c>
      <c r="B24" s="149"/>
    </row>
    <row r="25" spans="1:4" x14ac:dyDescent="0.25">
      <c r="A25" s="147" t="s">
        <v>67</v>
      </c>
      <c r="B25" s="152">
        <f>SUM(B28:B29)</f>
        <v>176000</v>
      </c>
    </row>
    <row r="26" spans="1:4" ht="26.25" x14ac:dyDescent="0.25">
      <c r="A26" s="167" t="s">
        <v>63</v>
      </c>
      <c r="B26" s="166"/>
    </row>
    <row r="27" spans="1:4" ht="64.5" x14ac:dyDescent="0.25">
      <c r="A27" s="167" t="s">
        <v>86</v>
      </c>
      <c r="B27" s="166"/>
    </row>
    <row r="28" spans="1:4" x14ac:dyDescent="0.25">
      <c r="A28" s="150" t="s">
        <v>82</v>
      </c>
      <c r="B28" s="149">
        <f>Eelarve!H29</f>
        <v>45000</v>
      </c>
    </row>
    <row r="29" spans="1:4" x14ac:dyDescent="0.25">
      <c r="A29" s="150" t="s">
        <v>56</v>
      </c>
      <c r="B29" s="149">
        <f>Eelarve!H51</f>
        <v>131000</v>
      </c>
      <c r="C29" s="187"/>
      <c r="D29" s="179"/>
    </row>
    <row r="30" spans="1:4" x14ac:dyDescent="0.25">
      <c r="A30" s="150"/>
      <c r="B30" s="149"/>
    </row>
    <row r="31" spans="1:4" ht="28.5" x14ac:dyDescent="0.25">
      <c r="A31" s="147" t="s">
        <v>90</v>
      </c>
      <c r="B31" s="152">
        <f>Eelarve!H21</f>
        <v>339328.4</v>
      </c>
    </row>
    <row r="32" spans="1:4" ht="90" x14ac:dyDescent="0.25">
      <c r="A32" s="167" t="s">
        <v>87</v>
      </c>
      <c r="B32" s="166"/>
    </row>
    <row r="33" spans="1:2" ht="51.75" x14ac:dyDescent="0.25">
      <c r="A33" s="167" t="s">
        <v>88</v>
      </c>
      <c r="B33" s="166"/>
    </row>
    <row r="34" spans="1:2" x14ac:dyDescent="0.25">
      <c r="A34" s="147" t="s">
        <v>3</v>
      </c>
      <c r="B34" s="148">
        <f>B17+B11+B2+B25+B31</f>
        <v>2334573.2200000002</v>
      </c>
    </row>
    <row r="35" spans="1:2" hidden="1" x14ac:dyDescent="0.25">
      <c r="A35" s="153" t="s">
        <v>54</v>
      </c>
      <c r="B35" s="154">
        <f>(Eelarve!H12+Eelarve!I12)-B34</f>
        <v>2241.6800000001676</v>
      </c>
    </row>
    <row r="36" spans="1:2" x14ac:dyDescent="0.25">
      <c r="A36"/>
      <c r="B36"/>
    </row>
    <row r="37" spans="1:2" x14ac:dyDescent="0.25">
      <c r="A37" s="168" t="s">
        <v>80</v>
      </c>
      <c r="B37"/>
    </row>
    <row r="38" spans="1:2" x14ac:dyDescent="0.25">
      <c r="A38" s="173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2</vt:i4>
      </vt:variant>
      <vt:variant>
        <vt:lpstr>Nimega vahemikud</vt:lpstr>
      </vt:variant>
      <vt:variant>
        <vt:i4>1</vt:i4>
      </vt:variant>
    </vt:vector>
  </HeadingPairs>
  <TitlesOfParts>
    <vt:vector size="3" baseType="lpstr">
      <vt:lpstr>Eelarve</vt:lpstr>
      <vt:lpstr>SIM ettepanek</vt:lpstr>
      <vt:lpstr>Eelarve!Prindiala</vt:lpstr>
    </vt:vector>
  </TitlesOfParts>
  <Company>SMIT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Aveli Ainsalu</dc:creator>
  <cp:lastModifiedBy>Anneli</cp:lastModifiedBy>
  <cp:lastPrinted>2021-02-12T06:46:03Z</cp:lastPrinted>
  <dcterms:created xsi:type="dcterms:W3CDTF">2015-03-05T12:44:27Z</dcterms:created>
  <dcterms:modified xsi:type="dcterms:W3CDTF">2021-02-18T14:58:22Z</dcterms:modified>
</cp:coreProperties>
</file>